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<sst xmlns="http://schemas.openxmlformats.org/spreadsheetml/2006/main" count="166" uniqueCount="113">
  <si>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</si>
  <si>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</si>
  <si>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</si>
  <si>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</si>
  <si>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</si>
  <si>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</si>
  <si>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</si>
  <si>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</si>
  <si>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</si>
  <si>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</si>
  <si>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</si>
  <si>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</si>
  <si>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</si>
  <si>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</si>
  <si>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</si>
  <si>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</si>
  <si>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</si>
  <si>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</si>
  <si>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</si>
  <si>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</si>
  <si>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</si>
  <si>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</si>
  <si>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</si>
  <si>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</si>
  <si>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</si>
  <si>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</si>
  <si>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</si>
  <si>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</si>
  <si>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</si>
  <si>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</si>
  <si>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</si>
  <si>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</si>
  <si>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</si>
  <si>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</si>
  <si>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</si>
  <si>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</si>
  <si>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</si>
  <si>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</si>
  <si>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</si>
  <si>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</si>
  <si>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</si>
  <si>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</si>
  <si>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</si>
  <si>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</si>
  <si>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</si>
  <si>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</si>
  <si>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</si>
  <si>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</si>
  <si>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</si>
  <si>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</si>
  <si>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</si>
  <si>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</si>
  <si>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</si>
  <si>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</si>
  <si>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</si>
  <si>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</si>
  <si>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</si>
  <si>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</si>
  <si>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</si>
  <si>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</si>
  <si>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</si>
  <si>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</si>
  <si>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</si>
  <si>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</si>
  <si>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</si>
  <si>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</si>
  <si>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</si>
  <si>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</si>
  <si>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</si>
  <si>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</si>
  <si>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</si>
  <si>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</si>
  <si>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</si>
  <si>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</si>
  <si>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</si>
  <si>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</si>
  <si>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</si>
  <si>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</si>
  <si>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</si>
  <si>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</si>
  <si>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</si>
  <si>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</si>
  <si>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</si>
  <si>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</si>
  <si>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</si>
  <si>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</si>
  <si>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</si>
  <si>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</si>
  <si>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</si>
  <si>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</si>
  <si>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</si>
  <si>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</si>
  <si>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</si>
  <si>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</si>
  <si>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</si>
  <si>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</si>
  <si>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</si>
  <si>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</si>
  <si>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</si>
  <si>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</si>
  <si>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</si>
  <si>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</si>
  <si>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</si>
  <si>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</si>
  <si>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</si>
  <si>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</si>
  <si>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</si>
  <si>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</si>
  <si>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</si>
  <si>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</si>
  <si>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</si>
  <si>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</si>
  <si>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18.12.2018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</si>
</sst>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2464.4</c:v>
                </c:pt>
                <c:pt idx="3">
                  <c:v>11637.500000000024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192304.70000000004</c:v>
                </c:pt>
                <c:pt idx="1">
                  <c:v>180734.71000000005</c:v>
                </c:pt>
                <c:pt idx="2">
                  <c:v>2020.2000000000003</c:v>
                </c:pt>
                <c:pt idx="3">
                  <c:v>9549.78999999999</c:v>
                </c:pt>
              </c:numCache>
            </c:numRef>
          </c:val>
          <c:shape val="box"/>
        </c:ser>
        <c:shape val="box"/>
        <c:axId val="59212899"/>
        <c:axId val="63154044"/>
      </c:bar3D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2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747976.3</c:v>
                </c:pt>
                <c:pt idx="1">
                  <c:v>252014.19999999992</c:v>
                </c:pt>
                <c:pt idx="2">
                  <c:v>611181.3000000002</c:v>
                </c:pt>
                <c:pt idx="3">
                  <c:v>85.89999999999998</c:v>
                </c:pt>
                <c:pt idx="4">
                  <c:v>33524.700000000004</c:v>
                </c:pt>
                <c:pt idx="5">
                  <c:v>71000.3</c:v>
                </c:pt>
                <c:pt idx="6">
                  <c:v>11504.599999999997</c:v>
                </c:pt>
                <c:pt idx="7">
                  <c:v>20679.499999999876</c:v>
                </c:pt>
              </c:numCache>
            </c:numRef>
          </c:val>
          <c:shape val="box"/>
        </c:ser>
        <c:shape val="box"/>
        <c:axId val="31515485"/>
        <c:axId val="15203910"/>
      </c:bar3D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371035</c:v>
                </c:pt>
                <c:pt idx="1">
                  <c:v>223173.69999999998</c:v>
                </c:pt>
                <c:pt idx="2">
                  <c:v>371035</c:v>
                </c:pt>
              </c:numCache>
            </c:numRef>
          </c:val>
          <c:shape val="box"/>
        </c:ser>
        <c:shape val="box"/>
        <c:axId val="2617463"/>
        <c:axId val="23557168"/>
      </c:bar3DChart>
      <c:cat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22083.40000000001</c:v>
                </c:pt>
                <c:pt idx="1">
                  <c:v>11946.1</c:v>
                </c:pt>
                <c:pt idx="2">
                  <c:v>68.9</c:v>
                </c:pt>
                <c:pt idx="3">
                  <c:v>1143.9999999999998</c:v>
                </c:pt>
                <c:pt idx="4">
                  <c:v>830.3999999999999</c:v>
                </c:pt>
                <c:pt idx="5">
                  <c:v>89.5</c:v>
                </c:pt>
                <c:pt idx="6">
                  <c:v>8004.500000000009</c:v>
                </c:pt>
              </c:numCache>
            </c:numRef>
          </c:val>
          <c:shape val="box"/>
        </c:ser>
        <c:shape val="box"/>
        <c:axId val="10687921"/>
        <c:axId val="29082426"/>
      </c:bar3D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1089.8</c:v>
                </c:pt>
                <c:pt idx="4">
                  <c:v>1219.9</c:v>
                </c:pt>
                <c:pt idx="5">
                  <c:v>1320</c:v>
                </c:pt>
                <c:pt idx="6">
                  <c:v>13901.015649999998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31019.299999999992</c:v>
                </c:pt>
                <c:pt idx="1">
                  <c:v>18001.700000000004</c:v>
                </c:pt>
                <c:pt idx="2">
                  <c:v>14.599999999999998</c:v>
                </c:pt>
                <c:pt idx="3">
                  <c:v>909.4000000000001</c:v>
                </c:pt>
                <c:pt idx="4">
                  <c:v>681</c:v>
                </c:pt>
                <c:pt idx="5">
                  <c:v>1202</c:v>
                </c:pt>
                <c:pt idx="6">
                  <c:v>10210.599999999988</c:v>
                </c:pt>
              </c:numCache>
            </c:numRef>
          </c:val>
          <c:shape val="box"/>
        </c:ser>
        <c:shape val="box"/>
        <c:axId val="60415243"/>
        <c:axId val="6866276"/>
      </c:bar3D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66276"/>
        <c:crosses val="autoZero"/>
        <c:auto val="1"/>
        <c:lblOffset val="100"/>
        <c:tickLblSkip val="2"/>
        <c:noMultiLvlLbl val="0"/>
      </c:catAx>
      <c:valAx>
        <c:axId val="6866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5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7851.099999999999</c:v>
                </c:pt>
                <c:pt idx="1">
                  <c:v>2791.2000000000007</c:v>
                </c:pt>
                <c:pt idx="2">
                  <c:v>391.1</c:v>
                </c:pt>
                <c:pt idx="3">
                  <c:v>363.69999999999993</c:v>
                </c:pt>
                <c:pt idx="4">
                  <c:v>3583.4</c:v>
                </c:pt>
                <c:pt idx="5">
                  <c:v>721.6999999999988</c:v>
                </c:pt>
              </c:numCache>
            </c:numRef>
          </c:val>
          <c:shape val="box"/>
        </c:ser>
        <c:shape val="box"/>
        <c:axId val="61796485"/>
        <c:axId val="19297454"/>
      </c:bar3D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96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40904.50000000001</c:v>
                </c:pt>
              </c:numCache>
            </c:numRef>
          </c:val>
          <c:shape val="box"/>
        </c:ser>
        <c:shape val="box"/>
        <c:axId val="39459359"/>
        <c:axId val="19589912"/>
      </c:bar3D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89912"/>
        <c:crosses val="autoZero"/>
        <c:auto val="1"/>
        <c:lblOffset val="100"/>
        <c:tickLblSkip val="1"/>
        <c:noMultiLvlLbl val="0"/>
      </c:catAx>
      <c:valAx>
        <c:axId val="19589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747976.3</c:v>
                </c:pt>
                <c:pt idx="1">
                  <c:v>371035</c:v>
                </c:pt>
                <c:pt idx="2">
                  <c:v>22083.40000000001</c:v>
                </c:pt>
                <c:pt idx="3">
                  <c:v>31019.299999999992</c:v>
                </c:pt>
                <c:pt idx="4">
                  <c:v>7851.099999999999</c:v>
                </c:pt>
                <c:pt idx="5">
                  <c:v>192304.70000000004</c:v>
                </c:pt>
                <c:pt idx="6">
                  <c:v>40904.50000000001</c:v>
                </c:pt>
              </c:numCache>
            </c:numRef>
          </c:val>
          <c:shape val="box"/>
        </c:ser>
        <c:shape val="box"/>
        <c:axId val="42091481"/>
        <c:axId val="43279010"/>
      </c:bar3D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79010"/>
        <c:crosses val="autoZero"/>
        <c:auto val="1"/>
        <c:lblOffset val="100"/>
        <c:tickLblSkip val="1"/>
        <c:noMultiLvlLbl val="0"/>
      </c:catAx>
      <c:valAx>
        <c:axId val="43279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91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110251.99999999999</c:v>
                </c:pt>
                <c:pt idx="2">
                  <c:v>42109.700000000004</c:v>
                </c:pt>
                <c:pt idx="3">
                  <c:v>30298.8</c:v>
                </c:pt>
                <c:pt idx="4">
                  <c:v>114.48435</c:v>
                </c:pt>
                <c:pt idx="5">
                  <c:v>1126482.7156499997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838173.0100000001</c:v>
                </c:pt>
                <c:pt idx="1">
                  <c:v>88423.1</c:v>
                </c:pt>
                <c:pt idx="2">
                  <c:v>34963.100000000006</c:v>
                </c:pt>
                <c:pt idx="3">
                  <c:v>25900.999999999993</c:v>
                </c:pt>
                <c:pt idx="4">
                  <c:v>101.89999999999998</c:v>
                </c:pt>
                <c:pt idx="5">
                  <c:v>949544.8900000002</c:v>
                </c:pt>
              </c:numCache>
            </c:numRef>
          </c:val>
          <c:shape val="box"/>
        </c:ser>
        <c:shape val="box"/>
        <c:axId val="53966771"/>
        <c:axId val="15938892"/>
      </c:bar3D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G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58" sqref="K121:L158"/>
    </sheetView>
  </sheetViews>
  <sheetFormatPr defaultColWidth="9.00390625" defaultRowHeight="12.75"/>
  <cols>
    <col min="1" max="1" width="66.875" style="137" customWidth="1"/>
    <col min="2" max="2" width="19.00390625" style="137" hidden="1" customWidth="1"/>
    <col min="3" max="3" width="18.375" style="138" customWidth="1"/>
    <col min="4" max="4" width="19.00390625" style="138" customWidth="1"/>
    <col min="5" max="5" width="17.25390625" style="138" customWidth="1"/>
    <col min="6" max="6" width="19.375" style="138" hidden="1" customWidth="1"/>
    <col min="7" max="7" width="19.375" style="138" customWidth="1"/>
    <col min="8" max="8" width="19.75390625" style="138" hidden="1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</f>
        <v>827119.6</v>
      </c>
      <c r="D6" s="37">
        <f>673697.2+1047.5+996.5+41.9+1483.1+1089.5+310.7+33936.7+8+48.4+10.8+189.5+2.7+2940.9+75.1+96.8+16177.8+9723.8+110.1+3329.9+131.8+2527.6</f>
        <v>747976.3</v>
      </c>
      <c r="E6" s="3">
        <f>D6/D154*100</f>
        <v>38.6130606104877</v>
      </c>
      <c r="F6" s="3">
        <f>D6/B6*100</f>
        <v>99.24968575465789</v>
      </c>
      <c r="G6" s="3">
        <f aca="true" t="shared" si="0" ref="G6:G43">D6/C6*100</f>
        <v>90.43145634561193</v>
      </c>
      <c r="H6" s="37">
        <f>B6-D6</f>
        <v>5654.599999999977</v>
      </c>
      <c r="I6" s="37">
        <f aca="true" t="shared" si="1" ref="I6:I43">C6-D6</f>
        <v>79143.29999999993</v>
      </c>
      <c r="J6" s="153"/>
      <c r="K6" s="154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8282.7+10875.2+9132.6+9963.6+4.3+9215.1+9968.6+9459.9+11450.4+9572.3+23759.4-0.1+3644+36528.9+8511.9+179.9+764+816.4+0.1+3426.1+9016.3+0.5+9355.5+12599.9+4130.8+9728.1+12165.8+32.8+9616.3+10086.4+2.7+9723.8</f>
        <v>252014.19999999992</v>
      </c>
      <c r="E7" s="132">
        <f>D7/D6*100</f>
        <v>33.69280550734026</v>
      </c>
      <c r="F7" s="132">
        <f>D7/B7*100</f>
        <v>103.99130813694386</v>
      </c>
      <c r="G7" s="132">
        <f>D7/C7*100</f>
        <v>95.9989730212374</v>
      </c>
      <c r="H7" s="131">
        <f>B7-D7</f>
        <v>-9672.599999999919</v>
      </c>
      <c r="I7" s="131">
        <f t="shared" si="1"/>
        <v>10503.400000000052</v>
      </c>
      <c r="J7" s="148"/>
      <c r="K7" s="154"/>
      <c r="L7" s="127"/>
    </row>
    <row r="8" spans="1:12" s="152" customFormat="1" ht="18">
      <c r="A8" s="92" t="s">
        <v>3</v>
      </c>
      <c r="B8" s="114">
        <v>603128.1</v>
      </c>
      <c r="C8" s="115">
        <f>649221.9+8415.5-2000+877</f>
        <v>656514.4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+11.5+12146.1+9723.8</f>
        <v>611181.3000000002</v>
      </c>
      <c r="E8" s="96">
        <f>D8/D6*100</f>
        <v>81.71131892815322</v>
      </c>
      <c r="F8" s="96">
        <f>D8/B8*100</f>
        <v>101.33523873286623</v>
      </c>
      <c r="G8" s="96">
        <f t="shared" si="0"/>
        <v>93.09488108714754</v>
      </c>
      <c r="H8" s="94">
        <f>B8-D8</f>
        <v>-8053.200000000186</v>
      </c>
      <c r="I8" s="94">
        <f t="shared" si="1"/>
        <v>45333.09999999986</v>
      </c>
      <c r="J8" s="153"/>
      <c r="K8" s="154"/>
      <c r="L8" s="127"/>
    </row>
    <row r="9" spans="1:12" s="152" customFormat="1" ht="18">
      <c r="A9" s="92" t="s">
        <v>2</v>
      </c>
      <c r="B9" s="114">
        <v>97.7</v>
      </c>
      <c r="C9" s="115">
        <v>97.7</v>
      </c>
      <c r="D9" s="94">
        <f>3.4+5.4+0.8+4.1+3.6+0.3+0.3+3.4+3.4+3.6+2.1+4+2.9+3+2.4+1.4+2+0.9+5.2+1+8.5+6.6+1.4+1.1+0.8+2.6+4.8+5.3+1.6</f>
        <v>85.89999999999998</v>
      </c>
      <c r="E9" s="116">
        <f>D9/D6*100</f>
        <v>0.01148432109413092</v>
      </c>
      <c r="F9" s="96">
        <f>D9/B9*100</f>
        <v>87.92221084953938</v>
      </c>
      <c r="G9" s="96">
        <f t="shared" si="0"/>
        <v>87.92221084953938</v>
      </c>
      <c r="H9" s="94">
        <f aca="true" t="shared" si="2" ref="H9:H43">B9-D9</f>
        <v>11.800000000000026</v>
      </c>
      <c r="I9" s="94">
        <f t="shared" si="1"/>
        <v>11.800000000000026</v>
      </c>
      <c r="J9" s="153"/>
      <c r="K9" s="154"/>
      <c r="L9" s="127"/>
    </row>
    <row r="10" spans="1:12" s="152" customFormat="1" ht="18">
      <c r="A10" s="92" t="s">
        <v>1</v>
      </c>
      <c r="B10" s="114">
        <f>36216.9</f>
        <v>36216.9</v>
      </c>
      <c r="C10" s="115">
        <f>52816.3-8415.5-19.2-3934.8</f>
        <v>40446.8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+8.8+387+59.5+184</f>
        <v>33524.700000000004</v>
      </c>
      <c r="E10" s="96">
        <f>D10/D6*100</f>
        <v>4.482053776302806</v>
      </c>
      <c r="F10" s="96">
        <f aca="true" t="shared" si="3" ref="F10:F41">D10/B10*100</f>
        <v>92.56645378262635</v>
      </c>
      <c r="G10" s="96">
        <f t="shared" si="0"/>
        <v>82.88591433685731</v>
      </c>
      <c r="H10" s="94">
        <f t="shared" si="2"/>
        <v>2692.199999999997</v>
      </c>
      <c r="I10" s="94">
        <f t="shared" si="1"/>
        <v>6922.0999999999985</v>
      </c>
      <c r="J10" s="153"/>
      <c r="K10" s="154"/>
      <c r="L10" s="127"/>
    </row>
    <row r="11" spans="1:12" s="152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+73.9+3608.3+77+2335+33.3+1648.8</f>
        <v>71000.3</v>
      </c>
      <c r="E11" s="96">
        <f>D11/D6*100</f>
        <v>9.492319475897833</v>
      </c>
      <c r="F11" s="96">
        <f t="shared" si="3"/>
        <v>94.59429212459214</v>
      </c>
      <c r="G11" s="96">
        <f t="shared" si="0"/>
        <v>80.52440446216731</v>
      </c>
      <c r="H11" s="94">
        <f t="shared" si="2"/>
        <v>4057.4000000000087</v>
      </c>
      <c r="I11" s="94">
        <f t="shared" si="1"/>
        <v>17172.09999999999</v>
      </c>
      <c r="J11" s="153"/>
      <c r="K11" s="154"/>
      <c r="L11" s="127"/>
    </row>
    <row r="12" spans="1:12" s="152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+19+362.6</f>
        <v>11504.599999999997</v>
      </c>
      <c r="E12" s="96">
        <f>D12/D6*100</f>
        <v>1.538096862159937</v>
      </c>
      <c r="F12" s="96">
        <f t="shared" si="3"/>
        <v>99.14425322520874</v>
      </c>
      <c r="G12" s="96">
        <f t="shared" si="0"/>
        <v>90.31716124980372</v>
      </c>
      <c r="H12" s="94">
        <f>B12-D12</f>
        <v>99.30000000000291</v>
      </c>
      <c r="I12" s="94">
        <f t="shared" si="1"/>
        <v>1233.4000000000033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29150.299999999945</v>
      </c>
      <c r="D13" s="115">
        <f>D6-D8-D9-D10-D11-D12</f>
        <v>20679.499999999876</v>
      </c>
      <c r="E13" s="96">
        <f>D13/D6*100</f>
        <v>2.764726636392072</v>
      </c>
      <c r="F13" s="96">
        <f t="shared" si="3"/>
        <v>75.1255149564416</v>
      </c>
      <c r="G13" s="96">
        <f t="shared" si="0"/>
        <v>70.94095086499938</v>
      </c>
      <c r="H13" s="94">
        <f t="shared" si="2"/>
        <v>6847.100000000151</v>
      </c>
      <c r="I13" s="94">
        <f t="shared" si="1"/>
        <v>8470.800000000068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</f>
        <v>406096.89999999997</v>
      </c>
      <c r="D18" s="37">
        <f>337105.1+363.9+729.2+15.5+327.8+10035.9+3545.6+2688.8+857.2+448.5+1785.9+1404+10311.8+533.9+378.8+485.5+17.6</f>
        <v>371035</v>
      </c>
      <c r="E18" s="3">
        <f>D18/D154*100</f>
        <v>19.154078737003168</v>
      </c>
      <c r="F18" s="3">
        <f>D18/B18*100</f>
        <v>102.22732606531628</v>
      </c>
      <c r="G18" s="3">
        <f t="shared" si="0"/>
        <v>91.36612468600475</v>
      </c>
      <c r="H18" s="37">
        <f>B18-D18</f>
        <v>-8084.100000000035</v>
      </c>
      <c r="I18" s="37">
        <f t="shared" si="1"/>
        <v>35061.899999999965</v>
      </c>
      <c r="J18" s="153"/>
      <c r="K18" s="154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</f>
        <v>227711.8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+10311.8+378.8+17.6</f>
        <v>223173.69999999998</v>
      </c>
      <c r="E19" s="132">
        <f>D19/D18*100</f>
        <v>60.14896168825044</v>
      </c>
      <c r="F19" s="132">
        <f t="shared" si="3"/>
        <v>105.26217237297008</v>
      </c>
      <c r="G19" s="132">
        <f t="shared" si="0"/>
        <v>98.00708615012485</v>
      </c>
      <c r="H19" s="131">
        <f t="shared" si="2"/>
        <v>-11156.699999999983</v>
      </c>
      <c r="I19" s="131">
        <f t="shared" si="1"/>
        <v>4538.100000000006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3"/>
      <c r="K24" s="154">
        <f>C24-B24</f>
        <v>0</v>
      </c>
    </row>
    <row r="25" spans="1:11" s="152" customFormat="1" ht="18.75" thickBot="1">
      <c r="A25" s="92" t="s">
        <v>27</v>
      </c>
      <c r="B25" s="115">
        <f>B18</f>
        <v>362950.89999999997</v>
      </c>
      <c r="C25" s="115">
        <f>C18</f>
        <v>406096.89999999997</v>
      </c>
      <c r="D25" s="115">
        <f>D18</f>
        <v>371035</v>
      </c>
      <c r="E25" s="96">
        <f>D25/D18*100</f>
        <v>100</v>
      </c>
      <c r="F25" s="96">
        <f t="shared" si="3"/>
        <v>102.22732606531628</v>
      </c>
      <c r="G25" s="96">
        <f t="shared" si="0"/>
        <v>91.36612468600475</v>
      </c>
      <c r="H25" s="94">
        <f t="shared" si="2"/>
        <v>-8084.100000000035</v>
      </c>
      <c r="I25" s="94">
        <f t="shared" si="1"/>
        <v>35061.899999999965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f>20177.6+27.7+2+2155.9+7.9</f>
        <v>22371.100000000002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+14.6+10.4+451.7+35.9+3.8</f>
        <v>22083.40000000001</v>
      </c>
      <c r="E33" s="3">
        <f>D33/D154*100</f>
        <v>1.140019627206964</v>
      </c>
      <c r="F33" s="3">
        <f>D33/B33*100</f>
        <v>98.71396578621528</v>
      </c>
      <c r="G33" s="3">
        <f t="shared" si="0"/>
        <v>88.79712097147112</v>
      </c>
      <c r="H33" s="37">
        <f t="shared" si="2"/>
        <v>287.69999999999345</v>
      </c>
      <c r="I33" s="37">
        <f t="shared" si="1"/>
        <v>2786.0999999999876</v>
      </c>
      <c r="J33" s="153"/>
      <c r="K33" s="154"/>
    </row>
    <row r="34" spans="1:11" s="152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364.6+548.1+389.3+522.2+63+395+556.7+63+391.3+512.8+63+394.6+664.3+89.8+0.3+456.7+632.3+12+89.8+485+19+3.6+623.1+89.8+9.9+419.4+475.8+71.8+336.5+18.5+2.5+155.1+372.7+96+254.3+89.8+21.2+809.4+383.8+16.4+583.7+400</f>
        <v>11946.1</v>
      </c>
      <c r="E34" s="96">
        <f>D34/D33*100</f>
        <v>54.095383862992094</v>
      </c>
      <c r="F34" s="96">
        <f t="shared" si="3"/>
        <v>100.68097730356584</v>
      </c>
      <c r="G34" s="96">
        <f t="shared" si="0"/>
        <v>92.27210232802435</v>
      </c>
      <c r="H34" s="94">
        <f t="shared" si="2"/>
        <v>-80.79999999999927</v>
      </c>
      <c r="I34" s="94">
        <f t="shared" si="1"/>
        <v>1000.5</v>
      </c>
      <c r="J34" s="153"/>
      <c r="K34" s="154"/>
    </row>
    <row r="35" spans="1:11" s="152" customFormat="1" ht="18">
      <c r="A35" s="92" t="s">
        <v>1</v>
      </c>
      <c r="B35" s="114">
        <v>59.6</v>
      </c>
      <c r="C35" s="115">
        <v>81.1</v>
      </c>
      <c r="D35" s="94">
        <f>6.8+8.7+11.6+32.5+4.4+4.9</f>
        <v>68.9</v>
      </c>
      <c r="E35" s="96">
        <f>D35/D33*100</f>
        <v>0.3119990581160509</v>
      </c>
      <c r="F35" s="96">
        <f t="shared" si="3"/>
        <v>115.60402684563759</v>
      </c>
      <c r="G35" s="96">
        <f t="shared" si="0"/>
        <v>84.95684340320592</v>
      </c>
      <c r="H35" s="94">
        <f t="shared" si="2"/>
        <v>-9.300000000000004</v>
      </c>
      <c r="I35" s="94">
        <f t="shared" si="1"/>
        <v>12.199999999999989</v>
      </c>
      <c r="J35" s="153"/>
      <c r="K35" s="154"/>
    </row>
    <row r="36" spans="1:11" s="152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0.3+11.3+141.7+12.6+0.9+12.9+1.3+0.5+169.4+1.1+0.1+0.4+11.3+166.1+3.8+5.1+2.9+0.2+0.5+11.9+319.9+44.3+12.2+0.9-0.2+8.4+29.5+8.6+0.2+7.6+0.4+4.3+0.1+0.3+7.8+4.8+0.2+5.5+2.5+0.2+2.6+6.1+6.3+1.5+8+80.1+21+1.6+0.4+4.6</f>
        <v>1143.9999999999998</v>
      </c>
      <c r="E36" s="96">
        <f>D36/D33*100</f>
        <v>5.18036171966273</v>
      </c>
      <c r="F36" s="96">
        <f t="shared" si="3"/>
        <v>77.54880694143164</v>
      </c>
      <c r="G36" s="96">
        <f t="shared" si="0"/>
        <v>64.16152551878854</v>
      </c>
      <c r="H36" s="94">
        <f t="shared" si="2"/>
        <v>331.2000000000005</v>
      </c>
      <c r="I36" s="94">
        <f t="shared" si="1"/>
        <v>639.0000000000002</v>
      </c>
      <c r="J36" s="153"/>
      <c r="K36" s="154"/>
    </row>
    <row r="37" spans="1:12" s="85" customFormat="1" ht="18.75">
      <c r="A37" s="105" t="s">
        <v>7</v>
      </c>
      <c r="B37" s="125">
        <f>766.6+2+20.5+7.9</f>
        <v>797</v>
      </c>
      <c r="C37" s="126">
        <v>1008</v>
      </c>
      <c r="D37" s="98">
        <f>44.8+25.1+1.6+0.5+2.7+1+6.3+8.5+2.5+36.6+1.5+4.5+23.6+4.1+106.1+32.6+9.7+2.5+4.3+1.9+2.2+5.9+0.2+124.8+6.7+179.9+41.5+2.4+6.3+14.7+42.8+20.1+5+3.6+3.8+16.6+4.5+25.2+3.8</f>
        <v>830.3999999999999</v>
      </c>
      <c r="E37" s="101">
        <f>D37/D33*100</f>
        <v>3.7602905349719675</v>
      </c>
      <c r="F37" s="101">
        <f t="shared" si="3"/>
        <v>104.19071518193223</v>
      </c>
      <c r="G37" s="101">
        <f t="shared" si="0"/>
        <v>82.38095238095237</v>
      </c>
      <c r="H37" s="98">
        <f t="shared" si="2"/>
        <v>-33.399999999999864</v>
      </c>
      <c r="I37" s="98">
        <f t="shared" si="1"/>
        <v>177.60000000000014</v>
      </c>
      <c r="J37" s="148"/>
      <c r="K37" s="154"/>
      <c r="L37" s="127"/>
    </row>
    <row r="38" spans="1:11" s="152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5.1+5.1+5.1+5.1+5.1+8.7+5.1+45.1+5.1</f>
        <v>89.5</v>
      </c>
      <c r="E38" s="96">
        <f>D38/D33*100</f>
        <v>0.40528179537571196</v>
      </c>
      <c r="F38" s="96">
        <f t="shared" si="3"/>
        <v>106.042654028436</v>
      </c>
      <c r="G38" s="96">
        <f t="shared" si="0"/>
        <v>100</v>
      </c>
      <c r="H38" s="94">
        <f t="shared" si="2"/>
        <v>-5.099999999999994</v>
      </c>
      <c r="I38" s="94">
        <f t="shared" si="1"/>
        <v>0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8089.6</v>
      </c>
      <c r="C39" s="114">
        <f>C33-C34-C36-C37-C35-C38</f>
        <v>8961.299999999996</v>
      </c>
      <c r="D39" s="114">
        <f>D33-D34-D36-D37-D35-D38</f>
        <v>8004.500000000009</v>
      </c>
      <c r="E39" s="96">
        <f>D39/D33*100</f>
        <v>36.24668302888145</v>
      </c>
      <c r="F39" s="96">
        <f t="shared" si="3"/>
        <v>98.94803204113934</v>
      </c>
      <c r="G39" s="96">
        <f t="shared" si="0"/>
        <v>89.32297769296879</v>
      </c>
      <c r="H39" s="94">
        <f>B39-D39</f>
        <v>85.09999999999127</v>
      </c>
      <c r="I39" s="94">
        <f t="shared" si="1"/>
        <v>956.7999999999865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f>1293.5-2+236</f>
        <v>1527.5</v>
      </c>
      <c r="C43" s="36">
        <f>1126.9+467</f>
        <v>1593.9</v>
      </c>
      <c r="D43" s="37">
        <f>63.9+1.1+0.6+70.8+0.5+48+6.7+2+13.7+10.4+20.2+0.7+37.4+27+181.7+0.2+2.1+7.5+10+0.2+3.3+24.2+12.6+1.5+22+2.4+8+14.4+3.9+1.2+1.7+0.1+3+13.7+46.4+0.8+12.3+4.5+8.5+7.8+2.1+0.8+3</f>
        <v>702.8999999999999</v>
      </c>
      <c r="E43" s="3">
        <f>D43/D154*100</f>
        <v>0.03628606989701652</v>
      </c>
      <c r="F43" s="3">
        <f>D43/B43*100</f>
        <v>46.016366612111284</v>
      </c>
      <c r="G43" s="3">
        <f t="shared" si="0"/>
        <v>44.09937888198757</v>
      </c>
      <c r="H43" s="37">
        <f t="shared" si="2"/>
        <v>824.6000000000001</v>
      </c>
      <c r="I43" s="37">
        <f t="shared" si="1"/>
        <v>891.0000000000002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237.1+562.8+52.3+349.2+679.9+375.9+891+78.3+327.4+13.5+670.2+386.5+179.9+781.7-0.1+25.5+366.5+16.5+692.2+3.8+389.3+707.6+15.1+379.9+4.5+611.9+360.8+661.9+337.6+11.6+789.6+30.4+326.3+16.1+743.8+7.3+75+354.5</f>
        <v>12513.299999999997</v>
      </c>
      <c r="E45" s="3">
        <f>D45/D154*100</f>
        <v>0.6459787714359608</v>
      </c>
      <c r="F45" s="3">
        <f>D45/B45*100</f>
        <v>101.51461067934385</v>
      </c>
      <c r="G45" s="3">
        <f aca="true" t="shared" si="5" ref="G45:G76">D45/C45*100</f>
        <v>92.17017891472639</v>
      </c>
      <c r="H45" s="37">
        <f>B45-D45</f>
        <v>-186.6999999999971</v>
      </c>
      <c r="I45" s="37">
        <f aca="true" t="shared" si="6" ref="I45:I77">C45-D45</f>
        <v>1063.0000000000018</v>
      </c>
      <c r="J45" s="153"/>
      <c r="K45" s="154"/>
    </row>
    <row r="46" spans="1:11" s="152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237.1+551.8+334.1+652.5+314.7+746.1+319.2+661.7+342.8+781.7+0.2-0.1+366.5+692.2+367.7+697.1+14.1+359.1+599.6+318.9+654.8+315+778.2+5.2+0.1+303.9+728.8+332.2</f>
        <v>11475.2</v>
      </c>
      <c r="E46" s="96">
        <f>D46/D45*100</f>
        <v>91.70402691536208</v>
      </c>
      <c r="F46" s="96">
        <f aca="true" t="shared" si="7" ref="F46:F74">D46/B46*100</f>
        <v>102.00540463660931</v>
      </c>
      <c r="G46" s="96">
        <f t="shared" si="5"/>
        <v>93.62618713488465</v>
      </c>
      <c r="H46" s="94">
        <f aca="true" t="shared" si="8" ref="H46:H74">B46-D46</f>
        <v>-225.60000000000218</v>
      </c>
      <c r="I46" s="94">
        <f t="shared" si="6"/>
        <v>781.1999999999989</v>
      </c>
      <c r="J46" s="153"/>
      <c r="K46" s="154"/>
    </row>
    <row r="47" spans="1:11" s="152" customFormat="1" ht="18">
      <c r="A47" s="92" t="s">
        <v>2</v>
      </c>
      <c r="B47" s="114">
        <f>0.8+0.7</f>
        <v>1.5</v>
      </c>
      <c r="C47" s="115">
        <v>1.5</v>
      </c>
      <c r="D47" s="94">
        <f>0.7+0.7</f>
        <v>1.4</v>
      </c>
      <c r="E47" s="96">
        <f>D47/D45*100</f>
        <v>0.011188095865998579</v>
      </c>
      <c r="F47" s="96">
        <f t="shared" si="7"/>
        <v>93.33333333333333</v>
      </c>
      <c r="G47" s="96">
        <f t="shared" si="5"/>
        <v>93.33333333333333</v>
      </c>
      <c r="H47" s="94">
        <f t="shared" si="8"/>
        <v>0.10000000000000009</v>
      </c>
      <c r="I47" s="94">
        <f t="shared" si="6"/>
        <v>0.10000000000000009</v>
      </c>
      <c r="J47" s="153"/>
      <c r="K47" s="154"/>
    </row>
    <row r="48" spans="1:11" s="152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5.7+6.1+6.5+7.7+8.4+7+0.1+8.9+9.6+9</f>
        <v>69</v>
      </c>
      <c r="E48" s="96">
        <f>D48/D45*100</f>
        <v>0.5514132962527871</v>
      </c>
      <c r="F48" s="96">
        <f t="shared" si="7"/>
        <v>87.67471410419313</v>
      </c>
      <c r="G48" s="96">
        <f t="shared" si="5"/>
        <v>69.76744186046511</v>
      </c>
      <c r="H48" s="94">
        <f t="shared" si="8"/>
        <v>9.700000000000003</v>
      </c>
      <c r="I48" s="94">
        <f t="shared" si="6"/>
        <v>29.900000000000006</v>
      </c>
      <c r="J48" s="153"/>
      <c r="K48" s="154"/>
    </row>
    <row r="49" spans="1:11" s="152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7.3+51.9+12.7-0.1+54.5+131.2+49.5+2.4+7.9+11.2+178.3+0.4+4.1+0.1+0.6+1.4+0.5+0.8+4.5+4.5+1+5+1.4+9.1+16+0.1+15.9+3.2+7.3+60.9</f>
        <v>643.5999999999999</v>
      </c>
      <c r="E49" s="96">
        <f>D49/D45*100</f>
        <v>5.143327499540489</v>
      </c>
      <c r="F49" s="96">
        <f t="shared" si="7"/>
        <v>94.02483564645725</v>
      </c>
      <c r="G49" s="96">
        <f t="shared" si="5"/>
        <v>73.15298931575357</v>
      </c>
      <c r="H49" s="94">
        <f t="shared" si="8"/>
        <v>40.90000000000009</v>
      </c>
      <c r="I49" s="94">
        <f t="shared" si="6"/>
        <v>236.20000000000005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324.09999999999684</v>
      </c>
      <c r="E50" s="96">
        <f>D50/D45*100</f>
        <v>2.5900441929786457</v>
      </c>
      <c r="F50" s="96">
        <f t="shared" si="7"/>
        <v>103.77841818763847</v>
      </c>
      <c r="G50" s="96">
        <f t="shared" si="5"/>
        <v>95.40771268766474</v>
      </c>
      <c r="H50" s="94">
        <f t="shared" si="8"/>
        <v>-11.79999999999501</v>
      </c>
      <c r="I50" s="94">
        <f t="shared" si="6"/>
        <v>15.600000000002865</v>
      </c>
      <c r="J50" s="153"/>
      <c r="K50" s="154"/>
    </row>
    <row r="51" spans="1:11" ht="18.75" thickBot="1">
      <c r="A51" s="18" t="s">
        <v>4</v>
      </c>
      <c r="B51" s="35">
        <f>30742.3+124.3+3465</f>
        <v>34331.6</v>
      </c>
      <c r="C51" s="36">
        <f>37135.4+450-426+576.2</f>
        <v>37735.6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+6.1+1003.8+120.7</f>
        <v>31019.299999999992</v>
      </c>
      <c r="E51" s="3">
        <f>D51/D154*100</f>
        <v>1.6013209389052845</v>
      </c>
      <c r="F51" s="3">
        <f>D51/B51*100</f>
        <v>90.35203719022707</v>
      </c>
      <c r="G51" s="3">
        <f t="shared" si="5"/>
        <v>82.2016875311377</v>
      </c>
      <c r="H51" s="37">
        <f>B51-D51</f>
        <v>3312.3000000000065</v>
      </c>
      <c r="I51" s="37">
        <f t="shared" si="6"/>
        <v>6716.300000000007</v>
      </c>
      <c r="J51" s="153"/>
      <c r="K51" s="154"/>
    </row>
    <row r="52" spans="1:11" s="152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632.9+34.3+767.3+737.6+710.6+649.6+792.4+1.6+643.1+825.6+650.1+947+1196.1+785.4+658.1+439+623.6+358.8+550.5+716.3+1140.3+694.7+845.6+818.5+1013.9+10.9+757.9</f>
        <v>18001.700000000004</v>
      </c>
      <c r="E52" s="96">
        <f>D52/D51*100</f>
        <v>58.033869236249714</v>
      </c>
      <c r="F52" s="96">
        <f t="shared" si="7"/>
        <v>97.30911646260712</v>
      </c>
      <c r="G52" s="96">
        <f t="shared" si="5"/>
        <v>89.16323255537506</v>
      </c>
      <c r="H52" s="94">
        <f t="shared" si="8"/>
        <v>497.79999999999563</v>
      </c>
      <c r="I52" s="94">
        <f t="shared" si="6"/>
        <v>2187.899999999998</v>
      </c>
      <c r="J52" s="153"/>
      <c r="K52" s="154"/>
    </row>
    <row r="53" spans="1:11" s="152" customFormat="1" ht="18">
      <c r="A53" s="92" t="s">
        <v>2</v>
      </c>
      <c r="B53" s="114">
        <v>15.3</v>
      </c>
      <c r="C53" s="115">
        <f>13.9+1.38435</f>
        <v>15.28435</v>
      </c>
      <c r="D53" s="94">
        <f>1+1.7+1.2+5.3+1.4+2.3+1.7</f>
        <v>14.599999999999998</v>
      </c>
      <c r="E53" s="96">
        <f>D53/D51*100</f>
        <v>0.04706747089715114</v>
      </c>
      <c r="F53" s="96">
        <f>D53/B53*100</f>
        <v>95.42483660130718</v>
      </c>
      <c r="G53" s="96">
        <f t="shared" si="5"/>
        <v>95.52254430185123</v>
      </c>
      <c r="H53" s="94">
        <f t="shared" si="8"/>
        <v>0.7000000000000028</v>
      </c>
      <c r="I53" s="94">
        <f t="shared" si="6"/>
        <v>0.684350000000002</v>
      </c>
      <c r="J53" s="153"/>
      <c r="K53" s="154"/>
    </row>
    <row r="54" spans="1:11" s="152" customFormat="1" ht="18">
      <c r="A54" s="92" t="s">
        <v>1</v>
      </c>
      <c r="B54" s="114">
        <f>869.1+155.2</f>
        <v>1024.3</v>
      </c>
      <c r="C54" s="115">
        <f>993.6+100-3.8</f>
        <v>1089.8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0.2+4.2+9+4.7+9.6+6.3+43.2+2.7+18.4+3.8+23.8+5.3+12.2+43.2+26.7+3.8+22.4+0.4+59.7+30.3+3.3+19.2+7+2.9+21+4.4-0.4+4.8+2.2+3.6+32.5+6.4+7.8+23.5+0.7+4.2+10.2+2.2+1.8+2+15.6+1.8+2.2+4.1+5.9+16.2+64.8+35.5+24.1+15+22.2+8.7+11.7+6.3+2.8+26.7+2.5+28.1+19.5+17.9+41.9+34.1+12.6</f>
        <v>909.4000000000001</v>
      </c>
      <c r="E54" s="96">
        <f>D54/D51*100</f>
        <v>2.9317231530047434</v>
      </c>
      <c r="F54" s="96">
        <f t="shared" si="7"/>
        <v>88.78258322757006</v>
      </c>
      <c r="G54" s="96">
        <f t="shared" si="5"/>
        <v>83.44650394567812</v>
      </c>
      <c r="H54" s="94">
        <f t="shared" si="8"/>
        <v>114.89999999999986</v>
      </c>
      <c r="I54" s="94">
        <f t="shared" si="6"/>
        <v>180.39999999999986</v>
      </c>
      <c r="J54" s="153"/>
      <c r="K54" s="154"/>
    </row>
    <row r="55" spans="1:11" s="152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+17+9.5</f>
        <v>681</v>
      </c>
      <c r="E55" s="96">
        <f>D55/D51*100</f>
        <v>2.195407375408214</v>
      </c>
      <c r="F55" s="96">
        <f t="shared" si="7"/>
        <v>61.01057158215374</v>
      </c>
      <c r="G55" s="96">
        <f t="shared" si="5"/>
        <v>55.82424788917124</v>
      </c>
      <c r="H55" s="94">
        <f t="shared" si="8"/>
        <v>435.20000000000005</v>
      </c>
      <c r="I55" s="94">
        <f t="shared" si="6"/>
        <v>538.9000000000001</v>
      </c>
      <c r="J55" s="153"/>
      <c r="K55" s="154"/>
    </row>
    <row r="56" spans="1:11" s="152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110+110+110+110+110+110+110+110+110+106+106</f>
        <v>1202</v>
      </c>
      <c r="E56" s="96">
        <f>D56/D51*100</f>
        <v>3.8750068505736763</v>
      </c>
      <c r="F56" s="96">
        <f>D56/B56*100</f>
        <v>99.3388429752066</v>
      </c>
      <c r="G56" s="96">
        <f>D56/C56*100</f>
        <v>91.06060606060606</v>
      </c>
      <c r="H56" s="94">
        <f t="shared" si="8"/>
        <v>8</v>
      </c>
      <c r="I56" s="94">
        <f t="shared" si="6"/>
        <v>118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13901.015649999998</v>
      </c>
      <c r="D57" s="115">
        <f>D51-D52-D55-D54-D53-D56</f>
        <v>10210.599999999988</v>
      </c>
      <c r="E57" s="96">
        <f>D57/D51*100</f>
        <v>32.91692591386649</v>
      </c>
      <c r="F57" s="96">
        <f t="shared" si="7"/>
        <v>81.90561754490095</v>
      </c>
      <c r="G57" s="96">
        <f t="shared" si="5"/>
        <v>73.45218692707527</v>
      </c>
      <c r="H57" s="94">
        <f>B57-D57</f>
        <v>2255.7000000000116</v>
      </c>
      <c r="I57" s="94">
        <f>C57-D57</f>
        <v>3690.41565000001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f>8862+38.1+215.4+128.8</f>
        <v>9244.3</v>
      </c>
      <c r="C59" s="36">
        <f>9264.2+300+32.4</f>
        <v>9596.6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+44.4+134.8</f>
        <v>7851.099999999999</v>
      </c>
      <c r="E59" s="3">
        <f>D59/D154*100</f>
        <v>0.40530027510096234</v>
      </c>
      <c r="F59" s="3">
        <f>D59/B59*100</f>
        <v>84.92909144013068</v>
      </c>
      <c r="G59" s="3">
        <f t="shared" si="5"/>
        <v>81.81126649021527</v>
      </c>
      <c r="H59" s="37">
        <f>B59-D59</f>
        <v>1393.1999999999998</v>
      </c>
      <c r="I59" s="37">
        <f t="shared" si="6"/>
        <v>1745.500000000001</v>
      </c>
      <c r="J59" s="153"/>
      <c r="K59" s="154"/>
    </row>
    <row r="60" spans="1:11" s="152" customFormat="1" ht="18">
      <c r="A60" s="92" t="s">
        <v>3</v>
      </c>
      <c r="B60" s="114">
        <f>2608.2+133+120.9</f>
        <v>2862.1</v>
      </c>
      <c r="C60" s="115">
        <v>3119.7</v>
      </c>
      <c r="D60" s="94">
        <f>77.7+79.1+76.9+40.5+47.3+155.9+45+29.2+85.8+95.3+38.3+30.7+89.8+79.1+80.7+178.9+50.9+35.4+119.2+73+83.9+167.9+42.3+43+65+68.5+34.6+47.8+164.9+73.8+172.5+81.2+83.4+72.9+4.4+33.5+42.9</f>
        <v>2791.2000000000007</v>
      </c>
      <c r="E60" s="96">
        <f>D60/D59*100</f>
        <v>35.55170613035117</v>
      </c>
      <c r="F60" s="96">
        <f t="shared" si="7"/>
        <v>97.52279794556448</v>
      </c>
      <c r="G60" s="96">
        <f t="shared" si="5"/>
        <v>89.47014135974615</v>
      </c>
      <c r="H60" s="94">
        <f t="shared" si="8"/>
        <v>70.89999999999918</v>
      </c>
      <c r="I60" s="94">
        <f t="shared" si="6"/>
        <v>328.4999999999991</v>
      </c>
      <c r="J60" s="153"/>
      <c r="K60" s="154"/>
    </row>
    <row r="61" spans="1:11" s="152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4.9814675650545786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3"/>
      <c r="K61" s="154"/>
    </row>
    <row r="62" spans="1:11" s="152" customFormat="1" ht="18">
      <c r="A62" s="92" t="s">
        <v>0</v>
      </c>
      <c r="B62" s="114">
        <f>253.5+38.1+58.4+5.8</f>
        <v>355.8</v>
      </c>
      <c r="C62" s="115">
        <v>393.7</v>
      </c>
      <c r="D62" s="94">
        <f>10.9+43.2+13-3+39.2+5.7+50.2+3.5+0.2+29.7+2.5+1.8+22+0.1+0.7+2.1+0.1+0.1+2.2+0.1+0.1+2.1+1.2+0.5+0.1+0.6+16.3+0.1+1.9+0.2+25.9+8+82.4</f>
        <v>363.69999999999993</v>
      </c>
      <c r="E62" s="96">
        <f>D62/D59*100</f>
        <v>4.632471882920864</v>
      </c>
      <c r="F62" s="96">
        <f t="shared" si="7"/>
        <v>102.22034851039908</v>
      </c>
      <c r="G62" s="96">
        <f t="shared" si="5"/>
        <v>92.3799847599695</v>
      </c>
      <c r="H62" s="94">
        <f t="shared" si="8"/>
        <v>-7.89999999999992</v>
      </c>
      <c r="I62" s="94">
        <f t="shared" si="6"/>
        <v>30.000000000000057</v>
      </c>
      <c r="J62" s="153"/>
      <c r="K62" s="154"/>
    </row>
    <row r="63" spans="1:11" s="152" customFormat="1" ht="18">
      <c r="A63" s="92" t="s">
        <v>14</v>
      </c>
      <c r="B63" s="114">
        <v>4866.6</v>
      </c>
      <c r="C63" s="115">
        <v>4866.6</v>
      </c>
      <c r="D63" s="94">
        <f>136+283.5+578.4+584+1151+850.5</f>
        <v>3583.4</v>
      </c>
      <c r="E63" s="96">
        <f>D63/D59*100</f>
        <v>45.642011947370435</v>
      </c>
      <c r="F63" s="96">
        <f t="shared" si="7"/>
        <v>73.63251551391114</v>
      </c>
      <c r="G63" s="96">
        <f t="shared" si="5"/>
        <v>73.63251551391114</v>
      </c>
      <c r="H63" s="94">
        <f t="shared" si="8"/>
        <v>1283.2000000000003</v>
      </c>
      <c r="I63" s="94">
        <f t="shared" si="6"/>
        <v>1283.2000000000003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721.6999999999988</v>
      </c>
      <c r="E64" s="96">
        <f>D64/D59*100</f>
        <v>9.192342474302949</v>
      </c>
      <c r="F64" s="96">
        <f t="shared" si="7"/>
        <v>94.13068997000134</v>
      </c>
      <c r="G64" s="96">
        <f t="shared" si="5"/>
        <v>87.6381299332117</v>
      </c>
      <c r="H64" s="94">
        <f t="shared" si="8"/>
        <v>44.999999999999545</v>
      </c>
      <c r="I64" s="94">
        <f t="shared" si="6"/>
        <v>101.80000000000166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417.363</v>
      </c>
      <c r="C69" s="36">
        <f>C70+C71</f>
        <v>418</v>
      </c>
      <c r="D69" s="37">
        <f>D70+D71</f>
        <v>227</v>
      </c>
      <c r="E69" s="27">
        <f>D69/D154*100</f>
        <v>0.011718505998894227</v>
      </c>
      <c r="F69" s="3">
        <f>D69/B69*100</f>
        <v>54.38910492784459</v>
      </c>
      <c r="G69" s="3">
        <f t="shared" si="5"/>
        <v>54.30622009569378</v>
      </c>
      <c r="H69" s="37">
        <f>B69-D69</f>
        <v>190.363</v>
      </c>
      <c r="I69" s="37">
        <f t="shared" si="6"/>
        <v>191</v>
      </c>
      <c r="J69" s="153"/>
      <c r="K69" s="154"/>
    </row>
    <row r="70" spans="1:11" s="152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3"/>
      <c r="K70" s="154"/>
    </row>
    <row r="71" spans="1:11" s="152" customFormat="1" ht="18.75" thickBot="1">
      <c r="A71" s="92" t="s">
        <v>9</v>
      </c>
      <c r="B71" s="114">
        <f>167.3+23.1</f>
        <v>190.4</v>
      </c>
      <c r="C71" s="115">
        <f>293.1-30-14-37.9+0.1-20.9</f>
        <v>190.4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190.4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f>175244.2+100-321+14144.1+461</f>
        <v>189628.30000000002</v>
      </c>
      <c r="C90" s="36">
        <f>200580.6+2044.4+100+113.7+1216.5</f>
        <v>204055.2</v>
      </c>
      <c r="D90" s="37">
        <f>163043.6+2929.1+4743+0.1+24.6+255.3+62.3+21.8+32.8+6.6+402.7+1480.2+3226+109.1+17.7+22.1+585.8+20.3+65+7.6+6.1+2192.3+4645.9+2095+0.4+0.2+79.2+340.9+68.6+54.4+50.2+826.6+3156+1398.1+40.6+42.5+252</f>
        <v>192304.70000000004</v>
      </c>
      <c r="E90" s="3">
        <f>D90/D154*100</f>
        <v>9.92741753553108</v>
      </c>
      <c r="F90" s="3">
        <f aca="true" t="shared" si="11" ref="F90:F96">D90/B90*100</f>
        <v>101.41139270878874</v>
      </c>
      <c r="G90" s="3">
        <f t="shared" si="9"/>
        <v>94.24150916026646</v>
      </c>
      <c r="H90" s="37">
        <f aca="true" t="shared" si="12" ref="H90:H96">B90-D90</f>
        <v>-2676.4000000000233</v>
      </c>
      <c r="I90" s="37">
        <f t="shared" si="10"/>
        <v>11750.49999999997</v>
      </c>
      <c r="J90" s="153"/>
      <c r="K90" s="154"/>
    </row>
    <row r="91" spans="1:11" s="152" customFormat="1" ht="21.75" customHeight="1">
      <c r="A91" s="92" t="s">
        <v>3</v>
      </c>
      <c r="B91" s="114">
        <f>163944.6+273.6+100-321+12937.7+490+80</f>
        <v>177504.90000000002</v>
      </c>
      <c r="C91" s="115">
        <f>190000-46.7</f>
        <v>189953.3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+750+2916.3+1377.4+0.6</f>
        <v>180734.71000000005</v>
      </c>
      <c r="E91" s="96">
        <f>D91/D90*100</f>
        <v>93.98351158344025</v>
      </c>
      <c r="F91" s="96">
        <f t="shared" si="11"/>
        <v>101.81956103746997</v>
      </c>
      <c r="G91" s="96">
        <f t="shared" si="9"/>
        <v>95.14691768976904</v>
      </c>
      <c r="H91" s="94">
        <f t="shared" si="12"/>
        <v>-3229.810000000027</v>
      </c>
      <c r="I91" s="94">
        <f t="shared" si="10"/>
        <v>9218.589999999938</v>
      </c>
      <c r="K91" s="154"/>
    </row>
    <row r="92" spans="1:11" s="152" customFormat="1" ht="18">
      <c r="A92" s="92" t="s">
        <v>25</v>
      </c>
      <c r="B92" s="114">
        <f>2081.4-200+447.3-40</f>
        <v>2288.7000000000003</v>
      </c>
      <c r="C92" s="115">
        <f>2776.4-312</f>
        <v>2464.4</v>
      </c>
      <c r="D92" s="94">
        <f>57.2+3.4+167+1.4+0.3+83.4+86.9+53.1+5.3+4.7+17+71.3+284.2+22.2+4.8+1.6+54.8+7+38.2+1.9+190+51.9+21+0.9+36.9+5.5+20.1+0.9+46.6+43.3-17.3+22+2.1+65.9+0.7+4.5+1+37+52.4+38.3+64.1+5+1.1+50.5+3.4+14.9+1.4+1.3+61.1+6.3+24+197.7</f>
        <v>2020.2000000000003</v>
      </c>
      <c r="E92" s="96">
        <f>D92/D90*100</f>
        <v>1.050520346096585</v>
      </c>
      <c r="F92" s="96">
        <f t="shared" si="11"/>
        <v>88.26844933805216</v>
      </c>
      <c r="G92" s="96">
        <f t="shared" si="9"/>
        <v>81.97532868040904</v>
      </c>
      <c r="H92" s="94">
        <f t="shared" si="12"/>
        <v>268.5</v>
      </c>
      <c r="I92" s="94">
        <f t="shared" si="10"/>
        <v>444.1999999999998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9834.699999999993</v>
      </c>
      <c r="C94" s="115">
        <f>C90-C91-C92-C93</f>
        <v>11637.500000000024</v>
      </c>
      <c r="D94" s="115">
        <f>D90-D91-D92-D93</f>
        <v>9549.78999999999</v>
      </c>
      <c r="E94" s="96">
        <f>D94/D90*100</f>
        <v>4.96596807046317</v>
      </c>
      <c r="F94" s="96">
        <f t="shared" si="11"/>
        <v>97.10301280161059</v>
      </c>
      <c r="G94" s="96">
        <f>D94/C94*100</f>
        <v>82.06049409237353</v>
      </c>
      <c r="H94" s="94">
        <f t="shared" si="12"/>
        <v>284.9100000000035</v>
      </c>
      <c r="I94" s="94">
        <f>C94-D94</f>
        <v>2087.7100000000337</v>
      </c>
      <c r="K94" s="154"/>
    </row>
    <row r="95" spans="1:11" ht="18.75">
      <c r="A95" s="76" t="s">
        <v>12</v>
      </c>
      <c r="B95" s="84">
        <f>40899.5-372</f>
        <v>40527.5</v>
      </c>
      <c r="C95" s="79">
        <f>46414.5+100+39.4+1153.5-64.6-244.3+39946.8-372</f>
        <v>86973.3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+496.4+545.7+2.3+279.1+62.4</f>
        <v>40904.50000000001</v>
      </c>
      <c r="E95" s="75">
        <f>D95/D154*100</f>
        <v>2.11162831996374</v>
      </c>
      <c r="F95" s="77">
        <f t="shared" si="11"/>
        <v>100.93023255813955</v>
      </c>
      <c r="G95" s="74">
        <f>D95/C95*100</f>
        <v>47.03110034918763</v>
      </c>
      <c r="H95" s="78">
        <f t="shared" si="12"/>
        <v>-377.0000000000073</v>
      </c>
      <c r="I95" s="80">
        <f>C95-D95</f>
        <v>46068.799999999996</v>
      </c>
      <c r="J95" s="153"/>
      <c r="K95" s="154"/>
    </row>
    <row r="96" spans="1:11" s="152" customFormat="1" ht="18.75" thickBot="1">
      <c r="A96" s="117" t="s">
        <v>83</v>
      </c>
      <c r="B96" s="118">
        <v>10114.6</v>
      </c>
      <c r="C96" s="119">
        <v>12814.2</v>
      </c>
      <c r="D96" s="120">
        <f>194.6+1234+3.4+0.5+79.6+1026.4+0.7+86.4+939.3+4.2+87.7+624.7+8+489.4+90.3+1.9+597.9+5.5+67.2+2.1+31.9+0.2+90.5+32.4+530.2+66+90.3+454.6+5.4+212.8+729.6+32.4+38.7+3.5+1+0.1+88.2+719.7+5.7+3.5+34.6+90.6+1035.4+1.6-0.1+1.4+37.3+88.3+1136.4+1.1+7.5</f>
        <v>11114.599999999997</v>
      </c>
      <c r="E96" s="121">
        <f>D96/D95*100</f>
        <v>27.172071532471964</v>
      </c>
      <c r="F96" s="122">
        <f t="shared" si="11"/>
        <v>109.88669843592427</v>
      </c>
      <c r="G96" s="123">
        <f>D96/C96*100</f>
        <v>86.73658909647108</v>
      </c>
      <c r="H96" s="124">
        <f t="shared" si="12"/>
        <v>-999.9999999999964</v>
      </c>
      <c r="I96" s="113">
        <f>C96-D96</f>
        <v>1699.600000000004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f>11280.9-100+784.6-461</f>
        <v>11504.5</v>
      </c>
      <c r="C102" s="66">
        <f>11266.5-91.2+1707.2+14.9+0.2+1010.6</f>
        <v>13908.2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+22.7+47.5+12+106.1+0.5</f>
        <v>10953.1</v>
      </c>
      <c r="E102" s="16">
        <f>D102/D154*100</f>
        <v>0.565435982627702</v>
      </c>
      <c r="F102" s="16">
        <f>D102/B102*100</f>
        <v>95.20709287670043</v>
      </c>
      <c r="G102" s="16">
        <f aca="true" t="shared" si="14" ref="G102:G152">D102/C102*100</f>
        <v>78.75282207618527</v>
      </c>
      <c r="H102" s="62">
        <f aca="true" t="shared" si="15" ref="H102:H108">B102-D102</f>
        <v>551.3999999999996</v>
      </c>
      <c r="I102" s="62">
        <f aca="true" t="shared" si="16" ref="I102:I152">C102-D102</f>
        <v>2955.1000000000004</v>
      </c>
      <c r="J102" s="148"/>
      <c r="K102" s="154"/>
    </row>
    <row r="103" spans="1:11" s="152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31.2+4.8+33.9+5.2+30.9+10.3+19.9+19.5+19.7+20.2+35.3+10.4+50+4.2+25.5</f>
        <v>320.99999999999994</v>
      </c>
      <c r="E103" s="108">
        <f>D103/D102*100</f>
        <v>2.9306771598908066</v>
      </c>
      <c r="F103" s="96">
        <f>D103/B103*100</f>
        <v>98.04520464263895</v>
      </c>
      <c r="G103" s="108">
        <f>D103/C103*100</f>
        <v>88.23529411764704</v>
      </c>
      <c r="H103" s="107">
        <f t="shared" si="15"/>
        <v>6.400000000000091</v>
      </c>
      <c r="I103" s="107">
        <f t="shared" si="16"/>
        <v>42.80000000000007</v>
      </c>
      <c r="J103" s="153"/>
      <c r="K103" s="154"/>
    </row>
    <row r="104" spans="1:11" s="152" customFormat="1" ht="18">
      <c r="A104" s="109" t="s">
        <v>48</v>
      </c>
      <c r="B104" s="93">
        <f>9329.9-100+615.5-461</f>
        <v>9384.4</v>
      </c>
      <c r="C104" s="94">
        <f>8949.2-91.2+1682.1+14.9+68.9</f>
        <v>10623.9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+22+20</f>
        <v>9141.499999999996</v>
      </c>
      <c r="E104" s="96">
        <f>D104/D102*100</f>
        <v>83.46039020916449</v>
      </c>
      <c r="F104" s="96">
        <f aca="true" t="shared" si="17" ref="F104:F152">D104/B104*100</f>
        <v>97.41166190699455</v>
      </c>
      <c r="G104" s="96">
        <f t="shared" si="14"/>
        <v>86.04655540808928</v>
      </c>
      <c r="H104" s="94">
        <f t="shared" si="15"/>
        <v>242.90000000000327</v>
      </c>
      <c r="I104" s="94">
        <f t="shared" si="16"/>
        <v>1482.4000000000033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1792.7000000000007</v>
      </c>
      <c r="C106" s="111">
        <f>C102-C103-C104</f>
        <v>2920.500000000002</v>
      </c>
      <c r="D106" s="111">
        <f>D102-D103-D104</f>
        <v>1490.600000000004</v>
      </c>
      <c r="E106" s="112">
        <f>D106/D102*100</f>
        <v>13.6089326309447</v>
      </c>
      <c r="F106" s="112">
        <f t="shared" si="17"/>
        <v>83.148323757461</v>
      </c>
      <c r="G106" s="112">
        <f t="shared" si="14"/>
        <v>51.03920561547691</v>
      </c>
      <c r="H106" s="113">
        <f t="shared" si="15"/>
        <v>302.0999999999967</v>
      </c>
      <c r="I106" s="113">
        <f t="shared" si="16"/>
        <v>1429.8999999999978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517543.0920600001</v>
      </c>
      <c r="C107" s="64">
        <f>SUM(C108:C151)-C115-C120+C152-C142-C143-C109-C112-C123-C124-C140-C133-C131-C138-C118</f>
        <v>578004.5999999999</v>
      </c>
      <c r="D107" s="64">
        <f>SUM(D108:D151)-D115-D120+D152-D142-D143-D109-D112-D123-D124-D140-D133-D131-D138-D118</f>
        <v>499536.4000000001</v>
      </c>
      <c r="E107" s="65">
        <f>D107/D154*100</f>
        <v>25.787754625841526</v>
      </c>
      <c r="F107" s="65">
        <f>D107/B107*100</f>
        <v>96.52073569597323</v>
      </c>
      <c r="G107" s="65">
        <f t="shared" si="14"/>
        <v>86.42429489315487</v>
      </c>
      <c r="H107" s="64">
        <f t="shared" si="15"/>
        <v>18006.69206000003</v>
      </c>
      <c r="I107" s="64">
        <f t="shared" si="16"/>
        <v>78468.19999999978</v>
      </c>
      <c r="J107" s="145"/>
      <c r="K107" s="154"/>
      <c r="L107" s="86"/>
    </row>
    <row r="108" spans="1:12" s="152" customFormat="1" ht="37.5">
      <c r="A108" s="87" t="s">
        <v>52</v>
      </c>
      <c r="B108" s="142">
        <f>3293.6+593</f>
        <v>3886.6</v>
      </c>
      <c r="C108" s="139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+0.3+46.6+0.2</f>
        <v>2614.3</v>
      </c>
      <c r="E108" s="89">
        <f>D108/D107*100</f>
        <v>0.523345245711824</v>
      </c>
      <c r="F108" s="89">
        <f t="shared" si="17"/>
        <v>67.26444707456389</v>
      </c>
      <c r="G108" s="89">
        <f t="shared" si="14"/>
        <v>58.629737609329446</v>
      </c>
      <c r="H108" s="90">
        <f t="shared" si="15"/>
        <v>1272.2999999999997</v>
      </c>
      <c r="I108" s="90">
        <f t="shared" si="16"/>
        <v>1844.6999999999998</v>
      </c>
      <c r="K108" s="154"/>
      <c r="L108" s="91"/>
    </row>
    <row r="109" spans="1:12" s="152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47.8+0.9+59.7+88.3+0.1+59.2+38.8+107.4+24+91.1+38+42.5+2+31.4+47.6+36.5-21.6+46.3+2.4+36.1+37.9+4+3.5+46.3+43.8+46.6</f>
        <v>960.5999999999999</v>
      </c>
      <c r="E109" s="96">
        <f>D109/D108*100</f>
        <v>36.74406150786061</v>
      </c>
      <c r="F109" s="96">
        <f t="shared" si="17"/>
        <v>55.596712582474815</v>
      </c>
      <c r="G109" s="96">
        <f t="shared" si="14"/>
        <v>48.150375939849624</v>
      </c>
      <c r="H109" s="94">
        <f aca="true" t="shared" si="18" ref="H109:H152">B109-D109</f>
        <v>767.2000000000003</v>
      </c>
      <c r="I109" s="94">
        <f t="shared" si="16"/>
        <v>1034.4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>
      <c r="A111" s="97" t="s">
        <v>93</v>
      </c>
      <c r="B111" s="143">
        <f>170.3+14.9</f>
        <v>185.20000000000002</v>
      </c>
      <c r="C111" s="98">
        <v>200</v>
      </c>
      <c r="D111" s="99"/>
      <c r="E111" s="89">
        <f>D111/D107*100</f>
        <v>0</v>
      </c>
      <c r="F111" s="89">
        <f t="shared" si="17"/>
        <v>0</v>
      </c>
      <c r="G111" s="89">
        <f t="shared" si="14"/>
        <v>0</v>
      </c>
      <c r="H111" s="90">
        <f t="shared" si="18"/>
        <v>185.20000000000002</v>
      </c>
      <c r="I111" s="90">
        <f t="shared" si="16"/>
        <v>200</v>
      </c>
      <c r="K111" s="154"/>
      <c r="L111" s="91"/>
    </row>
    <row r="112" spans="1:12" s="152" customFormat="1" ht="18.75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>
      <c r="A113" s="97" t="s">
        <v>89</v>
      </c>
      <c r="B113" s="143">
        <v>64.296</v>
      </c>
      <c r="C113" s="90">
        <v>64.3</v>
      </c>
      <c r="D113" s="88">
        <f>6.8+7+3.6+16.9+0.1+11+1+17.9</f>
        <v>64.3</v>
      </c>
      <c r="E113" s="89">
        <f>D113/D107*100</f>
        <v>0.012871934858000336</v>
      </c>
      <c r="F113" s="89">
        <f t="shared" si="17"/>
        <v>100.00622122682591</v>
      </c>
      <c r="G113" s="89">
        <f t="shared" si="14"/>
        <v>100</v>
      </c>
      <c r="H113" s="90">
        <f t="shared" si="18"/>
        <v>-0.003999999999990678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f>2758.7+278.3</f>
        <v>3037</v>
      </c>
      <c r="C114" s="90">
        <v>3311.5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136.4+10+40+6.6+6.1+0.2+177.4+10+1.8+25.1+29.4+48.1+8.1+193.1+10+0.1+17.8+8.8+132.4+79.7+12.6+4.3+3.5+212.4+8.1+0.4+10.8+218.3+5.3+16.4+166.6+54.3+12.8+52.1+1.1+0.2+214.8+15.7+3.7+4.8+133.9+54.7+10.7+6.3+7.4+1.2+219.4+17.7+3.9+0.9+21.1+3.2+4.4+207.3+10.7+3.5+15.7+17.7</f>
        <v>2698.999999999999</v>
      </c>
      <c r="E114" s="89">
        <f>D114/D107*100</f>
        <v>0.5403009670566548</v>
      </c>
      <c r="F114" s="89">
        <f t="shared" si="17"/>
        <v>88.8705959828778</v>
      </c>
      <c r="G114" s="89">
        <f t="shared" si="14"/>
        <v>81.50385021893399</v>
      </c>
      <c r="H114" s="90">
        <f t="shared" si="18"/>
        <v>338.0000000000009</v>
      </c>
      <c r="I114" s="90">
        <f t="shared" si="16"/>
        <v>612.5000000000009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>
      <c r="A117" s="97" t="s">
        <v>47</v>
      </c>
      <c r="B117" s="143">
        <f>200-130</f>
        <v>70</v>
      </c>
      <c r="C117" s="90">
        <f>200-130</f>
        <v>70</v>
      </c>
      <c r="D117" s="88">
        <f>15+40+1.2+1.8+2.6+2.4+2.8</f>
        <v>65.8</v>
      </c>
      <c r="E117" s="89">
        <f>D117/D107*100</f>
        <v>0.013172213276149643</v>
      </c>
      <c r="F117" s="89">
        <f>D117/B117*100</f>
        <v>94</v>
      </c>
      <c r="G117" s="89">
        <f t="shared" si="14"/>
        <v>94</v>
      </c>
      <c r="H117" s="90">
        <f t="shared" si="18"/>
        <v>4.200000000000003</v>
      </c>
      <c r="I117" s="90">
        <f t="shared" si="16"/>
        <v>4.200000000000003</v>
      </c>
      <c r="K117" s="154"/>
      <c r="L117" s="91"/>
    </row>
    <row r="118" spans="1:12" s="152" customFormat="1" ht="18.75">
      <c r="A118" s="100" t="s">
        <v>88</v>
      </c>
      <c r="B118" s="150">
        <v>40</v>
      </c>
      <c r="C118" s="151">
        <v>40</v>
      </c>
      <c r="D118" s="95">
        <v>40</v>
      </c>
      <c r="E118" s="96">
        <f>D118/D117*100</f>
        <v>60.790273556231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f>388.3+52.7</f>
        <v>441</v>
      </c>
      <c r="C119" s="98">
        <v>491.6</v>
      </c>
      <c r="D119" s="88">
        <f>45.4+9.9+47+6.4+0.4+0.4+45.4+0.4+2.9+45.4+4+6.8+0.4+45.4+0.1+5.8+0.8+0.4+0.8+0.7+13+0.4+5+0.3+0.8+45.4+5+1.1+45.4+0.3+3.7+0.8+3.3+45.4+1.1+1.3+0.8</f>
        <v>441.9000000000001</v>
      </c>
      <c r="E119" s="89">
        <f>D119/D107*100</f>
        <v>0.08846202198678615</v>
      </c>
      <c r="F119" s="89">
        <f t="shared" si="17"/>
        <v>100.20408163265309</v>
      </c>
      <c r="G119" s="89">
        <f t="shared" si="14"/>
        <v>89.89015459723355</v>
      </c>
      <c r="H119" s="90">
        <f t="shared" si="18"/>
        <v>-0.900000000000091</v>
      </c>
      <c r="I119" s="90">
        <f t="shared" si="16"/>
        <v>49.69999999999993</v>
      </c>
      <c r="K119" s="154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45.4+45.4+45.4+45.4+45.4+0.1+45.4+45.4+45.4</f>
        <v>363.29999999999995</v>
      </c>
      <c r="E120" s="96">
        <f>D120/D119*100</f>
        <v>82.21317040054308</v>
      </c>
      <c r="F120" s="96">
        <f t="shared" si="17"/>
        <v>99.97248211337369</v>
      </c>
      <c r="G120" s="96">
        <f t="shared" si="14"/>
        <v>88.86986301369862</v>
      </c>
      <c r="H120" s="94">
        <f t="shared" si="18"/>
        <v>0.10000000000002274</v>
      </c>
      <c r="I120" s="94">
        <f t="shared" si="16"/>
        <v>45.50000000000006</v>
      </c>
      <c r="K120" s="154"/>
      <c r="L120" s="91"/>
    </row>
    <row r="121" spans="1:12" s="102" customFormat="1" ht="18.75">
      <c r="A121" s="97" t="s">
        <v>105</v>
      </c>
      <c r="B121" s="143">
        <f>275+22</f>
        <v>297</v>
      </c>
      <c r="C121" s="98">
        <v>317</v>
      </c>
      <c r="D121" s="88">
        <f>3.6+3+7+40+10</f>
        <v>63.6</v>
      </c>
      <c r="E121" s="89">
        <f>D121/D107*100</f>
        <v>0.01273180492953066</v>
      </c>
      <c r="F121" s="89">
        <f t="shared" si="17"/>
        <v>21.41414141414141</v>
      </c>
      <c r="G121" s="89">
        <f t="shared" si="14"/>
        <v>20.063091482649842</v>
      </c>
      <c r="H121" s="90">
        <f t="shared" si="18"/>
        <v>233.4</v>
      </c>
      <c r="I121" s="90">
        <f t="shared" si="16"/>
        <v>253.4</v>
      </c>
      <c r="K121" s="154"/>
      <c r="L121" s="91"/>
    </row>
    <row r="122" spans="1:13" s="102" customFormat="1" ht="21.75" customHeight="1">
      <c r="A122" s="97" t="s">
        <v>94</v>
      </c>
      <c r="B122" s="143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0.0944675903497723</v>
      </c>
      <c r="F122" s="89">
        <f t="shared" si="17"/>
        <v>84.26800762144218</v>
      </c>
      <c r="G122" s="89">
        <f t="shared" si="14"/>
        <v>84.26785714285715</v>
      </c>
      <c r="H122" s="90">
        <f t="shared" si="18"/>
        <v>88.09899999999999</v>
      </c>
      <c r="I122" s="90">
        <f t="shared" si="16"/>
        <v>88.09999999999997</v>
      </c>
      <c r="J122" s="145"/>
      <c r="K122" s="154"/>
      <c r="L122" s="154"/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v>50723.5</v>
      </c>
      <c r="C125" s="98">
        <f>45511.3+17000</f>
        <v>62511.3</v>
      </c>
      <c r="D125" s="99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1">
        <f>D125/D107*100</f>
        <v>9.554178634429842</v>
      </c>
      <c r="F125" s="89">
        <f t="shared" si="17"/>
        <v>94.09169319940463</v>
      </c>
      <c r="G125" s="89">
        <f t="shared" si="14"/>
        <v>76.34875614488901</v>
      </c>
      <c r="H125" s="90">
        <f t="shared" si="18"/>
        <v>2996.899999999994</v>
      </c>
      <c r="I125" s="90">
        <f t="shared" si="16"/>
        <v>14784.699999999997</v>
      </c>
      <c r="K125" s="154"/>
      <c r="L125" s="91"/>
    </row>
    <row r="126" spans="1:12" s="102" customFormat="1" ht="18.75">
      <c r="A126" s="97" t="s">
        <v>91</v>
      </c>
      <c r="B126" s="143">
        <f>685+10</f>
        <v>695</v>
      </c>
      <c r="C126" s="98">
        <v>700</v>
      </c>
      <c r="D126" s="99">
        <f>9.6+1.5</f>
        <v>11.1</v>
      </c>
      <c r="E126" s="101">
        <f>D126/D107*100</f>
        <v>0.002222060294304879</v>
      </c>
      <c r="F126" s="89">
        <f t="shared" si="17"/>
        <v>1.5971223021582732</v>
      </c>
      <c r="G126" s="89">
        <f t="shared" si="14"/>
        <v>1.5857142857142859</v>
      </c>
      <c r="H126" s="90">
        <f t="shared" si="18"/>
        <v>683.9</v>
      </c>
      <c r="I126" s="90">
        <f t="shared" si="16"/>
        <v>688.9</v>
      </c>
      <c r="K126" s="154"/>
      <c r="L126" s="91"/>
    </row>
    <row r="127" spans="1:17" s="102" customFormat="1" ht="37.5">
      <c r="A127" s="97" t="s">
        <v>100</v>
      </c>
      <c r="B127" s="143">
        <f>200+250</f>
        <v>450</v>
      </c>
      <c r="C127" s="98">
        <f>200+250</f>
        <v>450</v>
      </c>
      <c r="D127" s="99">
        <f>63.1+15.9+49.6+42.2+10.6</f>
        <v>181.4</v>
      </c>
      <c r="E127" s="101">
        <f>D127/D107*100</f>
        <v>0.03631367003485631</v>
      </c>
      <c r="F127" s="89">
        <f t="shared" si="17"/>
        <v>40.31111111111112</v>
      </c>
      <c r="G127" s="89">
        <f t="shared" si="14"/>
        <v>40.31111111111112</v>
      </c>
      <c r="H127" s="90">
        <f t="shared" si="18"/>
        <v>268.6</v>
      </c>
      <c r="I127" s="90">
        <f t="shared" si="16"/>
        <v>268.6</v>
      </c>
      <c r="K127" s="154"/>
      <c r="L127" s="91"/>
      <c r="Q127" s="91"/>
    </row>
    <row r="128" spans="1:17" s="102" customFormat="1" ht="37.5">
      <c r="A128" s="97" t="s">
        <v>85</v>
      </c>
      <c r="B128" s="143">
        <v>111.1</v>
      </c>
      <c r="C128" s="98">
        <f>111.1</f>
        <v>111.1</v>
      </c>
      <c r="D128" s="99">
        <f>34.5+22.7</f>
        <v>57.2</v>
      </c>
      <c r="E128" s="101">
        <f>D128/D107*100</f>
        <v>0.01145061701209361</v>
      </c>
      <c r="F128" s="89">
        <f t="shared" si="17"/>
        <v>51.48514851485149</v>
      </c>
      <c r="G128" s="89">
        <f t="shared" si="14"/>
        <v>51.48514851485149</v>
      </c>
      <c r="H128" s="90">
        <f t="shared" si="18"/>
        <v>53.89999999999999</v>
      </c>
      <c r="I128" s="90">
        <f t="shared" si="16"/>
        <v>53.89999999999999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f>879.4+25.3-7.9</f>
        <v>896.8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7+4.2+0.1+12.3+0.2+7.1+17.8+14.9+1.7+0.1+7.4+7+2.7+3.7+7.1+5.3+31.3+16.4+2.5+1.7+26.7+0.1+13.8+0.1+2.9+6.5+0.6+7+4.8+0.1+17.3+0.5+7.6+29.1+0.2+0.1+7.4+1+0.1+0.2+0.1+0.4+7.4+2.8+0.8+6.9+26.7+15.1+8.8+14.7+0.1+0.2+9.7+46+7.9+0.3+150.5+1.5+9.6+7.4+8.1+7.7</f>
        <v>609.3000000000001</v>
      </c>
      <c r="E130" s="101">
        <f>D130/D107*100</f>
        <v>0.12197309345224891</v>
      </c>
      <c r="F130" s="89">
        <f t="shared" si="17"/>
        <v>67.94157002676184</v>
      </c>
      <c r="G130" s="89">
        <f t="shared" si="14"/>
        <v>64.68152866242039</v>
      </c>
      <c r="H130" s="90">
        <f t="shared" si="18"/>
        <v>287.4999999999999</v>
      </c>
      <c r="I130" s="90">
        <f t="shared" si="16"/>
        <v>332.69999999999993</v>
      </c>
      <c r="K130" s="154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7+7.1+7+7.1+7+7+7.4+7.4+7.4+46+7.3+150.5+7.4+7.7</f>
        <v>283.29999999999995</v>
      </c>
      <c r="E131" s="96">
        <f>D131/D130*100</f>
        <v>46.49597899228622</v>
      </c>
      <c r="F131" s="96">
        <f>D131/B131*100</f>
        <v>57.01348359830951</v>
      </c>
      <c r="G131" s="96">
        <f t="shared" si="14"/>
        <v>55.462020360219256</v>
      </c>
      <c r="H131" s="94">
        <f t="shared" si="18"/>
        <v>213.60000000000002</v>
      </c>
      <c r="I131" s="94">
        <f t="shared" si="16"/>
        <v>227.50000000000006</v>
      </c>
      <c r="K131" s="154"/>
      <c r="L131" s="91"/>
      <c r="Q131" s="135"/>
    </row>
    <row r="132" spans="1:12" s="102" customFormat="1" ht="37.5">
      <c r="A132" s="97" t="s">
        <v>103</v>
      </c>
      <c r="B132" s="143">
        <f>395+45</f>
        <v>440</v>
      </c>
      <c r="C132" s="98">
        <v>485</v>
      </c>
      <c r="D132" s="99">
        <f>25+30</f>
        <v>55</v>
      </c>
      <c r="E132" s="101">
        <f>D132/D107*100</f>
        <v>0.011010208665474627</v>
      </c>
      <c r="F132" s="89">
        <f t="shared" si="17"/>
        <v>12.5</v>
      </c>
      <c r="G132" s="89">
        <f t="shared" si="14"/>
        <v>11.34020618556701</v>
      </c>
      <c r="H132" s="90">
        <f t="shared" si="18"/>
        <v>385</v>
      </c>
      <c r="I132" s="90">
        <f t="shared" si="16"/>
        <v>430</v>
      </c>
      <c r="K132" s="154"/>
      <c r="L132" s="91"/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f>315+35</f>
        <v>350</v>
      </c>
      <c r="C136" s="98">
        <f>383.2+1100</f>
        <v>1483.2</v>
      </c>
      <c r="D136" s="99">
        <f>2.9+1.5+9.7+8.2+0.2-0.4+16+13.6+102.3+20.9+65+5.6+39.4+51.1+16.3</f>
        <v>352.3</v>
      </c>
      <c r="E136" s="101">
        <f>D136/D107*100</f>
        <v>0.07052539114266747</v>
      </c>
      <c r="F136" s="89">
        <f t="shared" si="17"/>
        <v>100.65714285714287</v>
      </c>
      <c r="G136" s="89">
        <f t="shared" si="14"/>
        <v>23.752696871628913</v>
      </c>
      <c r="H136" s="90">
        <f t="shared" si="18"/>
        <v>-2.3000000000000114</v>
      </c>
      <c r="I136" s="90">
        <f t="shared" si="16"/>
        <v>1130.9</v>
      </c>
      <c r="K136" s="154"/>
      <c r="L136" s="91"/>
    </row>
    <row r="137" spans="1:12" s="102" customFormat="1" ht="39" customHeight="1">
      <c r="A137" s="97" t="s">
        <v>54</v>
      </c>
      <c r="B137" s="143">
        <f>280+40</f>
        <v>320</v>
      </c>
      <c r="C137" s="98">
        <v>350</v>
      </c>
      <c r="D137" s="99">
        <f>3.7+1.9+30+0.6+12.1+11.2+3.6+6+7.1+2.2+29.2+3.8+54.6+2.4+2.8</f>
        <v>171.20000000000002</v>
      </c>
      <c r="E137" s="101">
        <f>D137/D107*100</f>
        <v>0.03427177679144102</v>
      </c>
      <c r="F137" s="89">
        <f t="shared" si="17"/>
        <v>53.5</v>
      </c>
      <c r="G137" s="89">
        <f t="shared" si="14"/>
        <v>48.91428571428572</v>
      </c>
      <c r="H137" s="90">
        <f t="shared" si="18"/>
        <v>148.79999999999998</v>
      </c>
      <c r="I137" s="90">
        <f t="shared" si="16"/>
        <v>178.79999999999998</v>
      </c>
      <c r="K137" s="154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3.7+1.9+12.1+11.1+3.6+6+7.1+2.2+3.8+2.4+2.8</f>
        <v>56.699999999999996</v>
      </c>
      <c r="E138" s="96"/>
      <c r="F138" s="89">
        <f>D138/B138*100</f>
        <v>57.857142857142854</v>
      </c>
      <c r="G138" s="96">
        <f>D138/C138*100</f>
        <v>51.54545454545454</v>
      </c>
      <c r="H138" s="94">
        <f>B138-D138</f>
        <v>41.300000000000004</v>
      </c>
      <c r="I138" s="94">
        <f>C138-D138</f>
        <v>53.300000000000004</v>
      </c>
      <c r="K138" s="154"/>
      <c r="L138" s="91"/>
    </row>
    <row r="139" spans="1:12" s="102" customFormat="1" ht="32.25" customHeight="1">
      <c r="A139" s="97" t="s">
        <v>84</v>
      </c>
      <c r="B139" s="143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76+0.3+41+44+1.8+16.3+2.4+30+0.6+0.2+27.4+0.2+4.5-0.2+31.4+4.5+7.9+26.6+4.5+0.5+26.6+0.3+4.3+1.1+0.3+24+0.5+4.2+38.1+0.8+4.8+0.8+29.1+14.9+4.2+0.6+6+56.4+20.2+0.3+0.5</f>
        <v>557.9000000000002</v>
      </c>
      <c r="E139" s="101">
        <f>D139/D107*100</f>
        <v>0.11168355299033265</v>
      </c>
      <c r="F139" s="89">
        <f>D139/B139*100</f>
        <v>100.16157989228012</v>
      </c>
      <c r="G139" s="89">
        <f>D139/C139*100</f>
        <v>91.80516702320226</v>
      </c>
      <c r="H139" s="90">
        <f t="shared" si="18"/>
        <v>-0.9000000000002046</v>
      </c>
      <c r="I139" s="90">
        <f t="shared" si="16"/>
        <v>49.79999999999984</v>
      </c>
      <c r="K139" s="154"/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76+37.6+44+1.2+0.7+30+27.4+30.6+0.6+26+0.5+26+0.3+24+24+0.5+0.8+24+14.9+0.7+55.8+20.2</f>
        <v>465.79999999999995</v>
      </c>
      <c r="E140" s="96">
        <f>D140/D139*100</f>
        <v>83.49166517297003</v>
      </c>
      <c r="F140" s="96">
        <f t="shared" si="17"/>
        <v>103.9500111582236</v>
      </c>
      <c r="G140" s="96">
        <f>D140/C140*100</f>
        <v>95.13888888888887</v>
      </c>
      <c r="H140" s="94">
        <f t="shared" si="18"/>
        <v>-17.699999999999932</v>
      </c>
      <c r="I140" s="94">
        <f t="shared" si="16"/>
        <v>23.800000000000068</v>
      </c>
      <c r="K140" s="154"/>
      <c r="L140" s="91"/>
    </row>
    <row r="141" spans="1:12" s="102" customFormat="1" ht="18.75">
      <c r="A141" s="97" t="s">
        <v>96</v>
      </c>
      <c r="B141" s="143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107.3+0.4+30.4+78.2+4.1+36.9+117.9+50.5+112.6+5.2+52.3+10.5+76.8-0.2+10.4+82.9+84+50.5+35.7+3.4+90.4+1.3+74.9+86.3+10.5+56.2+19.4+57.2+47.6+4.6+22+60.6+12.7+0.3+40.5+65.1+52.3+8.1</f>
        <v>1659.7999999999997</v>
      </c>
      <c r="E141" s="101">
        <f>D141/D107*100</f>
        <v>0.3322680789628142</v>
      </c>
      <c r="F141" s="89">
        <f t="shared" si="17"/>
        <v>101.57273116700323</v>
      </c>
      <c r="G141" s="89">
        <f t="shared" si="14"/>
        <v>94.30681818181816</v>
      </c>
      <c r="H141" s="90">
        <f t="shared" si="18"/>
        <v>-25.69999999999959</v>
      </c>
      <c r="I141" s="90">
        <f t="shared" si="16"/>
        <v>100.20000000000027</v>
      </c>
      <c r="J141" s="145"/>
      <c r="K141" s="154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107.3+25.4+76+34+76.6+47.2+83.8+4.5+35.4+76.8-0.2+60.7+81+50.4+90.4+52.9+85+10.5+37.7+14.2+56.6+47.6+60.4+11.7+38.4+60.6+33.6</f>
        <v>1358.4999999999998</v>
      </c>
      <c r="E142" s="96">
        <f>D142/D141*100</f>
        <v>81.84721050729003</v>
      </c>
      <c r="F142" s="96">
        <f aca="true" t="shared" si="19" ref="F142:F151">D142/B142*100</f>
        <v>102.27358277497551</v>
      </c>
      <c r="G142" s="96">
        <f t="shared" si="14"/>
        <v>94.51092249895643</v>
      </c>
      <c r="H142" s="94">
        <f t="shared" si="18"/>
        <v>-30.199999999999818</v>
      </c>
      <c r="I142" s="94">
        <f t="shared" si="16"/>
        <v>78.90000000000032</v>
      </c>
      <c r="J142" s="146"/>
      <c r="K142" s="154"/>
      <c r="L142" s="91"/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0.4+4.9+0.7+4.7+3.3+0.4+0.7+0.6+0.1+0.1+3.9+1+1.1+1.9+5.5</f>
        <v>29.299999999999997</v>
      </c>
      <c r="E143" s="96">
        <f>D143/D141*100</f>
        <v>1.765272924448729</v>
      </c>
      <c r="F143" s="96">
        <f t="shared" si="19"/>
        <v>83.47578347578346</v>
      </c>
      <c r="G143" s="96">
        <f>D143/C143*100</f>
        <v>73.25</v>
      </c>
      <c r="H143" s="94">
        <f t="shared" si="18"/>
        <v>5.800000000000004</v>
      </c>
      <c r="I143" s="94">
        <f t="shared" si="16"/>
        <v>10.700000000000003</v>
      </c>
      <c r="J143" s="146"/>
      <c r="K143" s="154"/>
      <c r="L143" s="91"/>
      <c r="M143" s="135"/>
    </row>
    <row r="144" spans="1:12" s="102" customFormat="1" ht="33.75" customHeight="1">
      <c r="A144" s="105" t="s">
        <v>56</v>
      </c>
      <c r="B144" s="143">
        <f>90+7.5+527</f>
        <v>624.5</v>
      </c>
      <c r="C144" s="98">
        <f>90+534.5</f>
        <v>624.5</v>
      </c>
      <c r="D144" s="99">
        <f>7.5+527+90</f>
        <v>624.5</v>
      </c>
      <c r="E144" s="101">
        <f>D144/D107*100</f>
        <v>0.1250159147561619</v>
      </c>
      <c r="F144" s="89">
        <f t="shared" si="19"/>
        <v>100</v>
      </c>
      <c r="G144" s="89">
        <f t="shared" si="14"/>
        <v>100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f>63378.3+215.3+2857.1+1855.9+14000+1552.3</f>
        <v>83858.90000000001</v>
      </c>
      <c r="C146" s="98">
        <f>56447.1-100+1500-3000+10865.4+0.1+56196.1</f>
        <v>121908.70000000001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+138.1</f>
        <v>70538.70000000001</v>
      </c>
      <c r="E146" s="101">
        <f>D146/D107*100</f>
        <v>14.120832836205729</v>
      </c>
      <c r="F146" s="89">
        <f t="shared" si="19"/>
        <v>84.11593760471459</v>
      </c>
      <c r="G146" s="89">
        <f t="shared" si="14"/>
        <v>57.86190813288962</v>
      </c>
      <c r="H146" s="90">
        <f t="shared" si="18"/>
        <v>13320.199999999997</v>
      </c>
      <c r="I146" s="90">
        <f t="shared" si="16"/>
        <v>51370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>
        <v>128.19706</v>
      </c>
      <c r="C149" s="98">
        <v>162.3</v>
      </c>
      <c r="D149" s="99">
        <f>46.4+43+38.8+34.1</f>
        <v>162.29999999999998</v>
      </c>
      <c r="E149" s="101">
        <f>D149/D107*100</f>
        <v>0.032490124843755123</v>
      </c>
      <c r="F149" s="89">
        <f t="shared" si="19"/>
        <v>126.60196731500706</v>
      </c>
      <c r="G149" s="89">
        <f t="shared" si="14"/>
        <v>99.99999999999997</v>
      </c>
      <c r="H149" s="90">
        <f t="shared" si="18"/>
        <v>-34.10293999999999</v>
      </c>
      <c r="I149" s="90">
        <f t="shared" si="16"/>
        <v>0</v>
      </c>
      <c r="J149" s="145"/>
      <c r="K149" s="154"/>
      <c r="L149" s="91"/>
    </row>
    <row r="150" spans="1:12" s="102" customFormat="1" ht="18" customHeight="1">
      <c r="A150" s="97" t="s">
        <v>77</v>
      </c>
      <c r="B150" s="143">
        <f>11221.5+372</f>
        <v>11593.5</v>
      </c>
      <c r="C150" s="98">
        <v>11593.5</v>
      </c>
      <c r="D150" s="99">
        <f>791.9+575.3+777.6+830.9+722.1+47.7+657.7+821-47.6+744.9+750.8+1599.5+613.3+554.9+554.9+291.8+0.1+58.4+1064.6+139.4</f>
        <v>11549.199999999997</v>
      </c>
      <c r="E150" s="101">
        <f>D150/D107*100</f>
        <v>2.3119836712599913</v>
      </c>
      <c r="F150" s="89">
        <f t="shared" si="19"/>
        <v>99.61788933454088</v>
      </c>
      <c r="G150" s="89">
        <f t="shared" si="14"/>
        <v>99.61788933454088</v>
      </c>
      <c r="H150" s="90">
        <f t="shared" si="18"/>
        <v>44.30000000000291</v>
      </c>
      <c r="I150" s="90">
        <f t="shared" si="16"/>
        <v>44.30000000000291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f>289360.2-1612.3-1000-1425.5-646.6-194.6+6232.7+2434+27883.6-1642.3-2049.5+567</f>
        <v>317906.70000000007</v>
      </c>
      <c r="C151" s="98">
        <v>322609.9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+3.1+561.9+2491+301.2</f>
        <v>318973.30000000005</v>
      </c>
      <c r="E151" s="101">
        <f>D151/D107*100</f>
        <v>63.853865303909785</v>
      </c>
      <c r="F151" s="89">
        <f t="shared" si="19"/>
        <v>100.33550724159007</v>
      </c>
      <c r="G151" s="89">
        <f t="shared" si="14"/>
        <v>98.87275622973753</v>
      </c>
      <c r="H151" s="90">
        <f t="shared" si="18"/>
        <v>-1066.5999999999767</v>
      </c>
      <c r="I151" s="90">
        <f>C151-D151</f>
        <v>3636.5999999999767</v>
      </c>
      <c r="K151" s="154"/>
      <c r="L151" s="91"/>
    </row>
    <row r="152" spans="1:12" s="102" customFormat="1" ht="18.75">
      <c r="A152" s="97" t="s">
        <v>99</v>
      </c>
      <c r="B152" s="143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819+819+819.1+1062.3+1173.1+1173.1+1173.2+1173.1+1173.1+1173.2+1173.1+1173.1+1173.2+1173.1+1173.1+1173.1+1173.1+1173.1+1173.1+1173.1+1173.1+1173.1+1173.1+1173.1+1173.1+1173.1+1173.1+1173.1+1173.1+1173.1+1173.1+1173.1+1173.1+1173.1+1173.1</f>
        <v>39885.799999999974</v>
      </c>
      <c r="E152" s="101">
        <f>D152/D107*100</f>
        <v>7.984563287079774</v>
      </c>
      <c r="F152" s="89">
        <f t="shared" si="17"/>
        <v>103.03027171961648</v>
      </c>
      <c r="G152" s="89">
        <f t="shared" si="14"/>
        <v>94.44449706383779</v>
      </c>
      <c r="H152" s="90">
        <f t="shared" si="18"/>
        <v>-1173.0999999999694</v>
      </c>
      <c r="I152" s="90">
        <f t="shared" si="16"/>
        <v>2346.200000000026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511419.4000000001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1957747.0550600004</v>
      </c>
      <c r="C154" s="37">
        <f>C6+C18+C33+C43+C51+C59+C69+C72+C77+C79+C87+C90+C95+C102+C107+C100+C84+C98+C45</f>
        <v>2206447.6999999997</v>
      </c>
      <c r="D154" s="37">
        <f>D6+D18+D33+D43+D51+D59+D69+D72+D77+D79+D87+D90+D95+D102+D107+D100+D84+D98+D45</f>
        <v>1937107.0000000002</v>
      </c>
      <c r="E154" s="25">
        <v>100</v>
      </c>
      <c r="F154" s="3">
        <f>D154/B154*100</f>
        <v>98.94572411657299</v>
      </c>
      <c r="G154" s="3">
        <f aca="true" t="shared" si="20" ref="G154:G160">D154/C154*100</f>
        <v>87.79301680252836</v>
      </c>
      <c r="H154" s="37">
        <f aca="true" t="shared" si="21" ref="H154:H160">B154-D154</f>
        <v>20640.05506000016</v>
      </c>
      <c r="I154" s="37">
        <f aca="true" t="shared" si="22" ref="I154:I160">C154-D154</f>
        <v>269340.6999999995</v>
      </c>
      <c r="K154" s="136"/>
      <c r="L154" s="158"/>
    </row>
    <row r="155" spans="1:12" ht="18.75">
      <c r="A155" s="15" t="s">
        <v>5</v>
      </c>
      <c r="B155" s="48">
        <f>B8+B20+B34+B52+B60+B91+B115+B120+B46+B142+B133+B103</f>
        <v>827128.6000000001</v>
      </c>
      <c r="C155" s="48">
        <f>C8+C20+C34+C52+C60+C91+C115+C120+C46+C142+C133+C103</f>
        <v>897190</v>
      </c>
      <c r="D155" s="48">
        <f>D8+D20+D34+D52+D60+D91+D115+D120+D46+D142+D133+D103</f>
        <v>838173.0100000001</v>
      </c>
      <c r="E155" s="6">
        <f>D155/D154*100</f>
        <v>43.26931914447679</v>
      </c>
      <c r="F155" s="6">
        <f aca="true" t="shared" si="23" ref="F155:F160">D155/B155*100</f>
        <v>101.33527120208394</v>
      </c>
      <c r="G155" s="6">
        <f t="shared" si="20"/>
        <v>93.42201874742251</v>
      </c>
      <c r="H155" s="49">
        <f t="shared" si="21"/>
        <v>-11044.410000000033</v>
      </c>
      <c r="I155" s="59">
        <f t="shared" si="22"/>
        <v>59016.989999999874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93303.70000000003</v>
      </c>
      <c r="C156" s="49">
        <f>C11+C23+C36+C55+C62+C92+C49+C143+C109+C112+C96+C140+C129</f>
        <v>110251.99999999999</v>
      </c>
      <c r="D156" s="49">
        <f>D11+D23+D36+D55+D62+D92+D49+D143+D109+D112+D96+D140+D129</f>
        <v>88423.1</v>
      </c>
      <c r="E156" s="6">
        <f>D156/D154*100</f>
        <v>4.564698800840635</v>
      </c>
      <c r="F156" s="6">
        <f t="shared" si="23"/>
        <v>94.76912491144508</v>
      </c>
      <c r="G156" s="6">
        <f t="shared" si="20"/>
        <v>80.20090338497262</v>
      </c>
      <c r="H156" s="49">
        <f>B156-D156</f>
        <v>4880.60000000002</v>
      </c>
      <c r="I156" s="59">
        <f t="shared" si="22"/>
        <v>21828.89999999998</v>
      </c>
      <c r="K156" s="154"/>
      <c r="L156" s="159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42109.700000000004</v>
      </c>
      <c r="D157" s="48">
        <f>D22+D10+D54+D48+D61+D35+D124</f>
        <v>34963.100000000006</v>
      </c>
      <c r="E157" s="6">
        <f>D157/D154*100</f>
        <v>1.804913203039378</v>
      </c>
      <c r="F157" s="6">
        <f t="shared" si="23"/>
        <v>92.56206880119453</v>
      </c>
      <c r="G157" s="6">
        <f t="shared" si="20"/>
        <v>83.02861335986721</v>
      </c>
      <c r="H157" s="49">
        <f t="shared" si="21"/>
        <v>2809.4999999999927</v>
      </c>
      <c r="I157" s="59">
        <f t="shared" si="22"/>
        <v>7146.5999999999985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27784.200000000004</v>
      </c>
      <c r="C158" s="48">
        <f>C12+C24+C104+C63+C38+C93+C131+C56+C138+C118</f>
        <v>30298.8</v>
      </c>
      <c r="D158" s="48">
        <f>D12+D24+D104+D63+D38+D93+D131+D56+D138+D118</f>
        <v>25900.999999999993</v>
      </c>
      <c r="E158" s="6">
        <f>D158/D154*100</f>
        <v>1.3370970214861642</v>
      </c>
      <c r="F158" s="6">
        <f t="shared" si="23"/>
        <v>93.22204706271906</v>
      </c>
      <c r="G158" s="6">
        <f t="shared" si="20"/>
        <v>85.4852337386299</v>
      </c>
      <c r="H158" s="49">
        <f>B158-D158</f>
        <v>1883.2000000000116</v>
      </c>
      <c r="I158" s="59">
        <f t="shared" si="22"/>
        <v>4397.800000000007</v>
      </c>
      <c r="K158" s="154"/>
      <c r="L158" s="159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101.89999999999998</v>
      </c>
      <c r="E159" s="6">
        <f>D159/D154*100</f>
        <v>0.0052604218558912836</v>
      </c>
      <c r="F159" s="6">
        <f t="shared" si="23"/>
        <v>88.99563318777291</v>
      </c>
      <c r="G159" s="6">
        <f t="shared" si="20"/>
        <v>89.00779888255467</v>
      </c>
      <c r="H159" s="49">
        <f t="shared" si="21"/>
        <v>12.600000000000023</v>
      </c>
      <c r="I159" s="59">
        <f t="shared" si="22"/>
        <v>12.584350000000029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971643.4550600003</v>
      </c>
      <c r="C160" s="61">
        <f>C154-C155-C156-C157-C158-C159</f>
        <v>1126482.7156499997</v>
      </c>
      <c r="D160" s="61">
        <f>D154-D155-D156-D157-D158-D159</f>
        <v>949544.8900000002</v>
      </c>
      <c r="E160" s="28">
        <f>D160/D154*100</f>
        <v>49.018711408301144</v>
      </c>
      <c r="F160" s="28">
        <f t="shared" si="23"/>
        <v>97.72565080895487</v>
      </c>
      <c r="G160" s="28">
        <f t="shared" si="20"/>
        <v>84.29289476067076</v>
      </c>
      <c r="H160" s="82">
        <f t="shared" si="21"/>
        <v>22098.56506000005</v>
      </c>
      <c r="I160" s="82">
        <f t="shared" si="22"/>
        <v>176937.82564999943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7:11" ht="12.75"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1937107.0000000002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1937107.0000000002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2018-12-18T11:20:45Z</dcterms:modified>
  <cp:category/>
  <cp:version/>
  <cp:contentType/>
  <cp:contentStatus/>
</cp:coreProperties>
</file>